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showInkAnnotation="0"/>
  <mc:AlternateContent xmlns:mc="http://schemas.openxmlformats.org/markup-compatibility/2006">
    <mc:Choice Requires="x15">
      <x15ac:absPath xmlns:x15ac="http://schemas.microsoft.com/office/spreadsheetml/2010/11/ac" url="K:\NI_Zwischenablage\Aufzeichnungen (K)\Erstellte Dateien (Excel, Word)\Inhalte Homepage\RKA\"/>
    </mc:Choice>
  </mc:AlternateContent>
  <xr:revisionPtr revIDLastSave="0" documentId="13_ncr:1_{66270EEB-1AD3-4338-BF69-265C7BD3C3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isekostenabrechnung" sheetId="12" r:id="rId1"/>
    <sheet name="Beispielabrechnung" sheetId="19" r:id="rId2"/>
    <sheet name="Pauschalen" sheetId="10" state="hidden" r:id="rId3"/>
  </sheets>
  <externalReferences>
    <externalReference r:id="rId4"/>
  </externalReferences>
  <definedNames>
    <definedName name="_xlnm._FilterDatabase" localSheetId="2" hidden="1">Pauschalen!$A$2:$D$227</definedName>
    <definedName name="_xlnm.Print_Area" localSheetId="1">Beispielabrechnung!$C$1:$X$37</definedName>
    <definedName name="_xlnm.Print_Area" localSheetId="0">Reisekostenabrechnung!$C$1:$X$37</definedName>
    <definedName name="_xlnm.Print_Titles" localSheetId="1">Beispielabrechnung!$1:$10</definedName>
    <definedName name="_xlnm.Print_Titles" localSheetId="0">Reisekostenabrechnung!$1:$10</definedName>
    <definedName name="Ja" localSheetId="1">Beispielabrechnung!#REF!</definedName>
    <definedName name="Ja" localSheetId="0">Reisekostenabrechnung!#REF!</definedName>
    <definedName name="Ja">#REF!</definedName>
    <definedName name="Liste_27042016">Pauschalen!$A$3:$A$227</definedName>
    <definedName name="Liste_DM">#REF!</definedName>
    <definedName name="Liste_DM15">#REF!</definedName>
    <definedName name="Liste_DMII" localSheetId="2">[1]data_fill!$C$38:$C$39</definedName>
    <definedName name="Liste_DMII">#REF!</definedName>
    <definedName name="Liste2016">Pauschalen!$A$3:$A$227</definedName>
    <definedName name="Liste26042016">#REF!</definedName>
    <definedName name="ListeDM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2" i="10" l="1"/>
  <c r="T11" i="10"/>
  <c r="F110" i="10"/>
  <c r="G110" i="10"/>
  <c r="H110" i="10"/>
  <c r="I110" i="10"/>
  <c r="C228" i="10"/>
  <c r="B228" i="10"/>
  <c r="F151" i="10"/>
  <c r="G151" i="10"/>
  <c r="H151" i="10"/>
  <c r="I151" i="10"/>
  <c r="F152" i="10"/>
  <c r="G152" i="10"/>
  <c r="H152" i="10"/>
  <c r="I152" i="10"/>
  <c r="F153" i="10"/>
  <c r="G153" i="10"/>
  <c r="H153" i="10"/>
  <c r="I153" i="10"/>
  <c r="F154" i="10"/>
  <c r="G154" i="10"/>
  <c r="H154" i="10"/>
  <c r="I154" i="10"/>
  <c r="F155" i="10"/>
  <c r="G155" i="10"/>
  <c r="H155" i="10"/>
  <c r="I155" i="10"/>
  <c r="F156" i="10"/>
  <c r="G156" i="10"/>
  <c r="H156" i="10"/>
  <c r="I156" i="10"/>
  <c r="F157" i="10"/>
  <c r="G157" i="10"/>
  <c r="H157" i="10"/>
  <c r="I157" i="10"/>
  <c r="F158" i="10"/>
  <c r="G158" i="10"/>
  <c r="H158" i="10"/>
  <c r="I158" i="10"/>
  <c r="F159" i="10"/>
  <c r="G159" i="10"/>
  <c r="H159" i="10"/>
  <c r="I159" i="10"/>
  <c r="F160" i="10"/>
  <c r="G160" i="10"/>
  <c r="H160" i="10"/>
  <c r="I160" i="10"/>
  <c r="F161" i="10"/>
  <c r="G161" i="10"/>
  <c r="H161" i="10"/>
  <c r="I161" i="10"/>
  <c r="F162" i="10"/>
  <c r="G162" i="10"/>
  <c r="H162" i="10"/>
  <c r="I162" i="10"/>
  <c r="F163" i="10"/>
  <c r="G163" i="10"/>
  <c r="H163" i="10"/>
  <c r="I163" i="10"/>
  <c r="F164" i="10"/>
  <c r="G164" i="10"/>
  <c r="H164" i="10"/>
  <c r="I164" i="10"/>
  <c r="F165" i="10"/>
  <c r="G165" i="10"/>
  <c r="H165" i="10"/>
  <c r="I165" i="10"/>
  <c r="F166" i="10"/>
  <c r="G166" i="10"/>
  <c r="H166" i="10"/>
  <c r="I166" i="10"/>
  <c r="F167" i="10"/>
  <c r="G167" i="10"/>
  <c r="H167" i="10"/>
  <c r="I167" i="10"/>
  <c r="F168" i="10"/>
  <c r="G168" i="10"/>
  <c r="H168" i="10"/>
  <c r="I168" i="10"/>
  <c r="F169" i="10"/>
  <c r="G169" i="10"/>
  <c r="H169" i="10"/>
  <c r="I169" i="10"/>
  <c r="F170" i="10"/>
  <c r="G170" i="10"/>
  <c r="H170" i="10"/>
  <c r="I170" i="10"/>
  <c r="F171" i="10"/>
  <c r="G171" i="10"/>
  <c r="H171" i="10"/>
  <c r="I171" i="10"/>
  <c r="F172" i="10"/>
  <c r="G172" i="10"/>
  <c r="H172" i="10"/>
  <c r="I172" i="10"/>
  <c r="F173" i="10"/>
  <c r="G173" i="10"/>
  <c r="H173" i="10"/>
  <c r="I173" i="10"/>
  <c r="F174" i="10"/>
  <c r="G174" i="10"/>
  <c r="H174" i="10"/>
  <c r="I174" i="10"/>
  <c r="F175" i="10"/>
  <c r="G175" i="10"/>
  <c r="H175" i="10"/>
  <c r="I175" i="10"/>
  <c r="F176" i="10"/>
  <c r="G176" i="10"/>
  <c r="H176" i="10"/>
  <c r="I176" i="10"/>
  <c r="F177" i="10"/>
  <c r="G177" i="10"/>
  <c r="H177" i="10"/>
  <c r="I177" i="10"/>
  <c r="F178" i="10"/>
  <c r="G178" i="10"/>
  <c r="H178" i="10"/>
  <c r="I178" i="10"/>
  <c r="F179" i="10"/>
  <c r="G179" i="10"/>
  <c r="H179" i="10"/>
  <c r="I179" i="10"/>
  <c r="F180" i="10"/>
  <c r="G180" i="10"/>
  <c r="H180" i="10"/>
  <c r="I180" i="10"/>
  <c r="F181" i="10"/>
  <c r="G181" i="10"/>
  <c r="H181" i="10"/>
  <c r="I181" i="10"/>
  <c r="F182" i="10"/>
  <c r="G182" i="10"/>
  <c r="H182" i="10"/>
  <c r="I182" i="10"/>
  <c r="F183" i="10"/>
  <c r="G183" i="10"/>
  <c r="H183" i="10"/>
  <c r="I183" i="10"/>
  <c r="F184" i="10"/>
  <c r="G184" i="10"/>
  <c r="H184" i="10"/>
  <c r="I184" i="10"/>
  <c r="F185" i="10"/>
  <c r="G185" i="10"/>
  <c r="H185" i="10"/>
  <c r="I185" i="10"/>
  <c r="F186" i="10"/>
  <c r="G186" i="10"/>
  <c r="H186" i="10"/>
  <c r="I186" i="10"/>
  <c r="F187" i="10"/>
  <c r="G187" i="10"/>
  <c r="H187" i="10"/>
  <c r="I187" i="10"/>
  <c r="F188" i="10"/>
  <c r="G188" i="10"/>
  <c r="H188" i="10"/>
  <c r="I188" i="10"/>
  <c r="F189" i="10"/>
  <c r="G189" i="10"/>
  <c r="H189" i="10"/>
  <c r="I189" i="10"/>
  <c r="F190" i="10"/>
  <c r="G190" i="10"/>
  <c r="H190" i="10"/>
  <c r="I190" i="10"/>
  <c r="F191" i="10"/>
  <c r="G191" i="10"/>
  <c r="H191" i="10"/>
  <c r="I191" i="10"/>
  <c r="F192" i="10"/>
  <c r="G192" i="10"/>
  <c r="H192" i="10"/>
  <c r="I192" i="10"/>
  <c r="F193" i="10"/>
  <c r="G193" i="10"/>
  <c r="H193" i="10"/>
  <c r="I193" i="10"/>
  <c r="F194" i="10"/>
  <c r="G194" i="10"/>
  <c r="H194" i="10"/>
  <c r="I194" i="10"/>
  <c r="F195" i="10"/>
  <c r="G195" i="10"/>
  <c r="H195" i="10"/>
  <c r="I195" i="10"/>
  <c r="F196" i="10"/>
  <c r="G196" i="10"/>
  <c r="H196" i="10"/>
  <c r="I196" i="10"/>
  <c r="F197" i="10"/>
  <c r="G197" i="10"/>
  <c r="H197" i="10"/>
  <c r="I197" i="10"/>
  <c r="F198" i="10"/>
  <c r="G198" i="10"/>
  <c r="H198" i="10"/>
  <c r="I198" i="10"/>
  <c r="F199" i="10"/>
  <c r="G199" i="10"/>
  <c r="H199" i="10"/>
  <c r="I199" i="10"/>
  <c r="F200" i="10"/>
  <c r="G200" i="10"/>
  <c r="H200" i="10"/>
  <c r="I200" i="10"/>
  <c r="F201" i="10"/>
  <c r="G201" i="10"/>
  <c r="H201" i="10"/>
  <c r="I201" i="10"/>
  <c r="F202" i="10"/>
  <c r="G202" i="10"/>
  <c r="H202" i="10"/>
  <c r="I202" i="10"/>
  <c r="F203" i="10"/>
  <c r="G203" i="10"/>
  <c r="H203" i="10"/>
  <c r="I203" i="10"/>
  <c r="F204" i="10"/>
  <c r="G204" i="10"/>
  <c r="H204" i="10"/>
  <c r="I204" i="10"/>
  <c r="F205" i="10"/>
  <c r="G205" i="10"/>
  <c r="H205" i="10"/>
  <c r="I205" i="10"/>
  <c r="F206" i="10"/>
  <c r="G206" i="10"/>
  <c r="H206" i="10"/>
  <c r="I206" i="10"/>
  <c r="F207" i="10"/>
  <c r="G207" i="10"/>
  <c r="H207" i="10"/>
  <c r="I207" i="10"/>
  <c r="F208" i="10"/>
  <c r="G208" i="10"/>
  <c r="H208" i="10"/>
  <c r="I208" i="10"/>
  <c r="F209" i="10"/>
  <c r="G209" i="10"/>
  <c r="H209" i="10"/>
  <c r="I209" i="10"/>
  <c r="F210" i="10"/>
  <c r="G210" i="10"/>
  <c r="H210" i="10"/>
  <c r="I210" i="10"/>
  <c r="F211" i="10"/>
  <c r="G211" i="10"/>
  <c r="H211" i="10"/>
  <c r="I211" i="10"/>
  <c r="F212" i="10"/>
  <c r="G212" i="10"/>
  <c r="H212" i="10"/>
  <c r="I212" i="10"/>
  <c r="F213" i="10"/>
  <c r="G213" i="10"/>
  <c r="H213" i="10"/>
  <c r="I213" i="10"/>
  <c r="F214" i="10"/>
  <c r="G214" i="10"/>
  <c r="H214" i="10"/>
  <c r="I214" i="10"/>
  <c r="F215" i="10"/>
  <c r="G215" i="10"/>
  <c r="H215" i="10"/>
  <c r="I215" i="10"/>
  <c r="F216" i="10"/>
  <c r="G216" i="10"/>
  <c r="H216" i="10"/>
  <c r="I216" i="10"/>
  <c r="F217" i="10"/>
  <c r="G217" i="10"/>
  <c r="H217" i="10"/>
  <c r="I217" i="10"/>
  <c r="F218" i="10"/>
  <c r="G218" i="10"/>
  <c r="H218" i="10"/>
  <c r="I218" i="10"/>
  <c r="F219" i="10"/>
  <c r="G219" i="10"/>
  <c r="H219" i="10"/>
  <c r="I219" i="10"/>
  <c r="F220" i="10"/>
  <c r="G220" i="10"/>
  <c r="H220" i="10"/>
  <c r="I220" i="10"/>
  <c r="F221" i="10"/>
  <c r="G221" i="10"/>
  <c r="H221" i="10"/>
  <c r="I221" i="10"/>
  <c r="F222" i="10"/>
  <c r="G222" i="10"/>
  <c r="H222" i="10"/>
  <c r="I222" i="10"/>
  <c r="F223" i="10"/>
  <c r="G223" i="10"/>
  <c r="H223" i="10"/>
  <c r="I223" i="10"/>
  <c r="F224" i="10"/>
  <c r="G224" i="10"/>
  <c r="H224" i="10"/>
  <c r="I224" i="10"/>
  <c r="F225" i="10"/>
  <c r="G225" i="10"/>
  <c r="H225" i="10"/>
  <c r="I225" i="10"/>
  <c r="F226" i="10"/>
  <c r="G226" i="10"/>
  <c r="H226" i="10"/>
  <c r="I226" i="10"/>
  <c r="F227" i="10"/>
  <c r="G227" i="10"/>
  <c r="H227" i="10"/>
  <c r="I227" i="10"/>
  <c r="F228" i="10"/>
  <c r="F229" i="10"/>
  <c r="G229" i="10"/>
  <c r="H229" i="10"/>
  <c r="I229" i="10"/>
  <c r="F230" i="10"/>
  <c r="G230" i="10"/>
  <c r="H230" i="10"/>
  <c r="I230" i="10"/>
  <c r="F231" i="10"/>
  <c r="G231" i="10"/>
  <c r="H231" i="10"/>
  <c r="I231" i="10"/>
  <c r="F25" i="10"/>
  <c r="G25" i="10"/>
  <c r="H25" i="10"/>
  <c r="I25" i="10"/>
  <c r="F26" i="10"/>
  <c r="G26" i="10"/>
  <c r="H26" i="10"/>
  <c r="I26" i="10"/>
  <c r="F27" i="10"/>
  <c r="G27" i="10"/>
  <c r="H27" i="10"/>
  <c r="I27" i="10"/>
  <c r="F28" i="10"/>
  <c r="G28" i="10"/>
  <c r="H28" i="10"/>
  <c r="I28" i="10"/>
  <c r="F29" i="10"/>
  <c r="G29" i="10"/>
  <c r="H29" i="10"/>
  <c r="I29" i="10"/>
  <c r="F30" i="10"/>
  <c r="G30" i="10"/>
  <c r="H30" i="10"/>
  <c r="I30" i="10"/>
  <c r="F31" i="10"/>
  <c r="G31" i="10"/>
  <c r="H31" i="10"/>
  <c r="I31" i="10"/>
  <c r="F32" i="10"/>
  <c r="G32" i="10"/>
  <c r="H32" i="10"/>
  <c r="I32" i="10"/>
  <c r="F33" i="10"/>
  <c r="G33" i="10"/>
  <c r="H33" i="10"/>
  <c r="I33" i="10"/>
  <c r="F34" i="10"/>
  <c r="G34" i="10"/>
  <c r="H34" i="10"/>
  <c r="I34" i="10"/>
  <c r="F35" i="10"/>
  <c r="G35" i="10"/>
  <c r="H35" i="10"/>
  <c r="I35" i="10"/>
  <c r="F36" i="10"/>
  <c r="G36" i="10"/>
  <c r="H36" i="10"/>
  <c r="I36" i="10"/>
  <c r="F37" i="10"/>
  <c r="G37" i="10"/>
  <c r="H37" i="10"/>
  <c r="I37" i="10"/>
  <c r="F38" i="10"/>
  <c r="G38" i="10"/>
  <c r="H38" i="10"/>
  <c r="I38" i="10"/>
  <c r="F39" i="10"/>
  <c r="G39" i="10"/>
  <c r="H39" i="10"/>
  <c r="I39" i="10"/>
  <c r="F40" i="10"/>
  <c r="G40" i="10"/>
  <c r="H40" i="10"/>
  <c r="I40" i="10"/>
  <c r="F41" i="10"/>
  <c r="G41" i="10"/>
  <c r="H41" i="10"/>
  <c r="I41" i="10"/>
  <c r="F42" i="10"/>
  <c r="G42" i="10"/>
  <c r="H42" i="10"/>
  <c r="I42" i="10"/>
  <c r="F43" i="10"/>
  <c r="G43" i="10"/>
  <c r="H43" i="10"/>
  <c r="I43" i="10"/>
  <c r="F44" i="10"/>
  <c r="G44" i="10"/>
  <c r="H44" i="10"/>
  <c r="I44" i="10"/>
  <c r="F45" i="10"/>
  <c r="G45" i="10"/>
  <c r="H45" i="10"/>
  <c r="I45" i="10"/>
  <c r="F46" i="10"/>
  <c r="G46" i="10"/>
  <c r="H46" i="10"/>
  <c r="I46" i="10"/>
  <c r="F47" i="10"/>
  <c r="G47" i="10"/>
  <c r="H47" i="10"/>
  <c r="I47" i="10"/>
  <c r="F48" i="10"/>
  <c r="G48" i="10"/>
  <c r="H48" i="10"/>
  <c r="I48" i="10"/>
  <c r="F49" i="10"/>
  <c r="G49" i="10"/>
  <c r="H49" i="10"/>
  <c r="I49" i="10"/>
  <c r="F50" i="10"/>
  <c r="G50" i="10"/>
  <c r="H50" i="10"/>
  <c r="I50" i="10"/>
  <c r="F51" i="10"/>
  <c r="G51" i="10"/>
  <c r="H51" i="10"/>
  <c r="I51" i="10"/>
  <c r="F52" i="10"/>
  <c r="G52" i="10"/>
  <c r="H52" i="10"/>
  <c r="I52" i="10"/>
  <c r="F53" i="10"/>
  <c r="G53" i="10"/>
  <c r="H53" i="10"/>
  <c r="I53" i="10"/>
  <c r="F54" i="10"/>
  <c r="G54" i="10"/>
  <c r="H54" i="10"/>
  <c r="I54" i="10"/>
  <c r="F55" i="10"/>
  <c r="G55" i="10"/>
  <c r="H55" i="10"/>
  <c r="I55" i="10"/>
  <c r="F56" i="10"/>
  <c r="G56" i="10"/>
  <c r="H56" i="10"/>
  <c r="I56" i="10"/>
  <c r="F57" i="10"/>
  <c r="G57" i="10"/>
  <c r="H57" i="10"/>
  <c r="I57" i="10"/>
  <c r="F58" i="10"/>
  <c r="G58" i="10"/>
  <c r="H58" i="10"/>
  <c r="I58" i="10"/>
  <c r="F59" i="10"/>
  <c r="G59" i="10"/>
  <c r="H59" i="10"/>
  <c r="I59" i="10"/>
  <c r="F60" i="10"/>
  <c r="G60" i="10"/>
  <c r="H60" i="10"/>
  <c r="I60" i="10"/>
  <c r="F61" i="10"/>
  <c r="G61" i="10"/>
  <c r="H61" i="10"/>
  <c r="I61" i="10"/>
  <c r="F62" i="10"/>
  <c r="G62" i="10"/>
  <c r="H62" i="10"/>
  <c r="I62" i="10"/>
  <c r="F63" i="10"/>
  <c r="G63" i="10"/>
  <c r="H63" i="10"/>
  <c r="I63" i="10"/>
  <c r="F64" i="10"/>
  <c r="G64" i="10"/>
  <c r="H64" i="10"/>
  <c r="I64" i="10"/>
  <c r="F65" i="10"/>
  <c r="G65" i="10"/>
  <c r="H65" i="10"/>
  <c r="I65" i="10"/>
  <c r="F66" i="10"/>
  <c r="G66" i="10"/>
  <c r="H66" i="10"/>
  <c r="I66" i="10"/>
  <c r="F67" i="10"/>
  <c r="G67" i="10"/>
  <c r="H67" i="10"/>
  <c r="I67" i="10"/>
  <c r="F68" i="10"/>
  <c r="G68" i="10"/>
  <c r="H68" i="10"/>
  <c r="I68" i="10"/>
  <c r="F69" i="10"/>
  <c r="G69" i="10"/>
  <c r="H69" i="10"/>
  <c r="I69" i="10"/>
  <c r="F70" i="10"/>
  <c r="G70" i="10"/>
  <c r="H70" i="10"/>
  <c r="I70" i="10"/>
  <c r="F71" i="10"/>
  <c r="G71" i="10"/>
  <c r="H71" i="10"/>
  <c r="I71" i="10"/>
  <c r="F72" i="10"/>
  <c r="G72" i="10"/>
  <c r="H72" i="10"/>
  <c r="I72" i="10"/>
  <c r="F73" i="10"/>
  <c r="G73" i="10"/>
  <c r="H73" i="10"/>
  <c r="I73" i="10"/>
  <c r="F74" i="10"/>
  <c r="G74" i="10"/>
  <c r="H74" i="10"/>
  <c r="I74" i="10"/>
  <c r="F75" i="10"/>
  <c r="G75" i="10"/>
  <c r="H75" i="10"/>
  <c r="I75" i="10"/>
  <c r="F76" i="10"/>
  <c r="G76" i="10"/>
  <c r="H76" i="10"/>
  <c r="I76" i="10"/>
  <c r="F77" i="10"/>
  <c r="G77" i="10"/>
  <c r="H77" i="10"/>
  <c r="I77" i="10"/>
  <c r="F78" i="10"/>
  <c r="G78" i="10"/>
  <c r="H78" i="10"/>
  <c r="I78" i="10"/>
  <c r="F79" i="10"/>
  <c r="G79" i="10"/>
  <c r="H79" i="10"/>
  <c r="I79" i="10"/>
  <c r="F80" i="10"/>
  <c r="G80" i="10"/>
  <c r="H80" i="10"/>
  <c r="I80" i="10"/>
  <c r="F81" i="10"/>
  <c r="G81" i="10"/>
  <c r="H81" i="10"/>
  <c r="I81" i="10"/>
  <c r="F82" i="10"/>
  <c r="G82" i="10"/>
  <c r="H82" i="10"/>
  <c r="I82" i="10"/>
  <c r="F83" i="10"/>
  <c r="G83" i="10"/>
  <c r="H83" i="10"/>
  <c r="I83" i="10"/>
  <c r="F84" i="10"/>
  <c r="G84" i="10"/>
  <c r="H84" i="10"/>
  <c r="I84" i="10"/>
  <c r="F85" i="10"/>
  <c r="G85" i="10"/>
  <c r="H85" i="10"/>
  <c r="I85" i="10"/>
  <c r="F86" i="10"/>
  <c r="G86" i="10"/>
  <c r="H86" i="10"/>
  <c r="I86" i="10"/>
  <c r="F87" i="10"/>
  <c r="G87" i="10"/>
  <c r="H87" i="10"/>
  <c r="I87" i="10"/>
  <c r="F88" i="10"/>
  <c r="G88" i="10"/>
  <c r="H88" i="10"/>
  <c r="I88" i="10"/>
  <c r="F89" i="10"/>
  <c r="G89" i="10"/>
  <c r="H89" i="10"/>
  <c r="I89" i="10"/>
  <c r="F90" i="10"/>
  <c r="G90" i="10"/>
  <c r="H90" i="10"/>
  <c r="I90" i="10"/>
  <c r="F91" i="10"/>
  <c r="G91" i="10"/>
  <c r="H91" i="10"/>
  <c r="I91" i="10"/>
  <c r="F92" i="10"/>
  <c r="G92" i="10"/>
  <c r="H92" i="10"/>
  <c r="I92" i="10"/>
  <c r="F93" i="10"/>
  <c r="G93" i="10"/>
  <c r="H93" i="10"/>
  <c r="I93" i="10"/>
  <c r="F94" i="10"/>
  <c r="G94" i="10"/>
  <c r="H94" i="10"/>
  <c r="I94" i="10"/>
  <c r="F95" i="10"/>
  <c r="G95" i="10"/>
  <c r="H95" i="10"/>
  <c r="I95" i="10"/>
  <c r="F96" i="10"/>
  <c r="G96" i="10"/>
  <c r="H96" i="10"/>
  <c r="I96" i="10"/>
  <c r="F97" i="10"/>
  <c r="G97" i="10"/>
  <c r="H97" i="10"/>
  <c r="I97" i="10"/>
  <c r="F98" i="10"/>
  <c r="G98" i="10"/>
  <c r="H98" i="10"/>
  <c r="I98" i="10"/>
  <c r="F99" i="10"/>
  <c r="G99" i="10"/>
  <c r="H99" i="10"/>
  <c r="I99" i="10"/>
  <c r="F100" i="10"/>
  <c r="G100" i="10"/>
  <c r="H100" i="10"/>
  <c r="I100" i="10"/>
  <c r="F101" i="10"/>
  <c r="G101" i="10"/>
  <c r="H101" i="10"/>
  <c r="I101" i="10"/>
  <c r="F102" i="10"/>
  <c r="G102" i="10"/>
  <c r="H102" i="10"/>
  <c r="I102" i="10"/>
  <c r="F103" i="10"/>
  <c r="G103" i="10"/>
  <c r="H103" i="10"/>
  <c r="I103" i="10"/>
  <c r="F104" i="10"/>
  <c r="G104" i="10"/>
  <c r="H104" i="10"/>
  <c r="I104" i="10"/>
  <c r="F105" i="10"/>
  <c r="G105" i="10"/>
  <c r="H105" i="10"/>
  <c r="I105" i="10"/>
  <c r="F106" i="10"/>
  <c r="G106" i="10"/>
  <c r="H106" i="10"/>
  <c r="I106" i="10"/>
  <c r="F107" i="10"/>
  <c r="G107" i="10"/>
  <c r="H107" i="10"/>
  <c r="I107" i="10"/>
  <c r="F108" i="10"/>
  <c r="G108" i="10"/>
  <c r="H108" i="10"/>
  <c r="I108" i="10"/>
  <c r="F109" i="10"/>
  <c r="G109" i="10"/>
  <c r="H109" i="10"/>
  <c r="I109" i="10"/>
  <c r="F111" i="10"/>
  <c r="G111" i="10"/>
  <c r="H111" i="10"/>
  <c r="I111" i="10"/>
  <c r="F112" i="10"/>
  <c r="G112" i="10"/>
  <c r="H112" i="10"/>
  <c r="I112" i="10"/>
  <c r="F113" i="10"/>
  <c r="G113" i="10"/>
  <c r="H113" i="10"/>
  <c r="I113" i="10"/>
  <c r="F114" i="10"/>
  <c r="G114" i="10"/>
  <c r="H114" i="10"/>
  <c r="I114" i="10"/>
  <c r="F115" i="10"/>
  <c r="G115" i="10"/>
  <c r="H115" i="10"/>
  <c r="I115" i="10"/>
  <c r="F116" i="10"/>
  <c r="G116" i="10"/>
  <c r="H116" i="10"/>
  <c r="I116" i="10"/>
  <c r="F117" i="10"/>
  <c r="G117" i="10"/>
  <c r="H117" i="10"/>
  <c r="I117" i="10"/>
  <c r="F118" i="10"/>
  <c r="G118" i="10"/>
  <c r="H118" i="10"/>
  <c r="I118" i="10"/>
  <c r="F119" i="10"/>
  <c r="G119" i="10"/>
  <c r="H119" i="10"/>
  <c r="I119" i="10"/>
  <c r="F120" i="10"/>
  <c r="G120" i="10"/>
  <c r="H120" i="10"/>
  <c r="I120" i="10"/>
  <c r="F121" i="10"/>
  <c r="G121" i="10"/>
  <c r="H121" i="10"/>
  <c r="I121" i="10"/>
  <c r="F122" i="10"/>
  <c r="G122" i="10"/>
  <c r="H122" i="10"/>
  <c r="I122" i="10"/>
  <c r="F123" i="10"/>
  <c r="G123" i="10"/>
  <c r="H123" i="10"/>
  <c r="I123" i="10"/>
  <c r="F124" i="10"/>
  <c r="G124" i="10"/>
  <c r="H124" i="10"/>
  <c r="I124" i="10"/>
  <c r="F125" i="10"/>
  <c r="G125" i="10"/>
  <c r="H125" i="10"/>
  <c r="I125" i="10"/>
  <c r="F126" i="10"/>
  <c r="G126" i="10"/>
  <c r="H126" i="10"/>
  <c r="I126" i="10"/>
  <c r="F127" i="10"/>
  <c r="G127" i="10"/>
  <c r="H127" i="10"/>
  <c r="I127" i="10"/>
  <c r="F128" i="10"/>
  <c r="G128" i="10"/>
  <c r="H128" i="10"/>
  <c r="I128" i="10"/>
  <c r="F129" i="10"/>
  <c r="G129" i="10"/>
  <c r="H129" i="10"/>
  <c r="I129" i="10"/>
  <c r="F130" i="10"/>
  <c r="G130" i="10"/>
  <c r="H130" i="10"/>
  <c r="I130" i="10"/>
  <c r="F131" i="10"/>
  <c r="G131" i="10"/>
  <c r="H131" i="10"/>
  <c r="I131" i="10"/>
  <c r="F132" i="10"/>
  <c r="G132" i="10"/>
  <c r="H132" i="10"/>
  <c r="I132" i="10"/>
  <c r="F133" i="10"/>
  <c r="G133" i="10"/>
  <c r="H133" i="10"/>
  <c r="I133" i="10"/>
  <c r="F134" i="10"/>
  <c r="G134" i="10"/>
  <c r="H134" i="10"/>
  <c r="I134" i="10"/>
  <c r="F135" i="10"/>
  <c r="G135" i="10"/>
  <c r="H135" i="10"/>
  <c r="I135" i="10"/>
  <c r="F136" i="10"/>
  <c r="G136" i="10"/>
  <c r="H136" i="10"/>
  <c r="I136" i="10"/>
  <c r="F137" i="10"/>
  <c r="G137" i="10"/>
  <c r="H137" i="10"/>
  <c r="I137" i="10"/>
  <c r="F138" i="10"/>
  <c r="G138" i="10"/>
  <c r="H138" i="10"/>
  <c r="I138" i="10"/>
  <c r="F139" i="10"/>
  <c r="G139" i="10"/>
  <c r="H139" i="10"/>
  <c r="I139" i="10"/>
  <c r="F140" i="10"/>
  <c r="G140" i="10"/>
  <c r="H140" i="10"/>
  <c r="I140" i="10"/>
  <c r="F141" i="10"/>
  <c r="G141" i="10"/>
  <c r="H141" i="10"/>
  <c r="I141" i="10"/>
  <c r="F142" i="10"/>
  <c r="G142" i="10"/>
  <c r="H142" i="10"/>
  <c r="I142" i="10"/>
  <c r="F143" i="10"/>
  <c r="G143" i="10"/>
  <c r="H143" i="10"/>
  <c r="I143" i="10"/>
  <c r="F144" i="10"/>
  <c r="G144" i="10"/>
  <c r="H144" i="10"/>
  <c r="I144" i="10"/>
  <c r="F145" i="10"/>
  <c r="G145" i="10"/>
  <c r="H145" i="10"/>
  <c r="I145" i="10"/>
  <c r="F146" i="10"/>
  <c r="G146" i="10"/>
  <c r="H146" i="10"/>
  <c r="I146" i="10"/>
  <c r="F147" i="10"/>
  <c r="G147" i="10"/>
  <c r="H147" i="10"/>
  <c r="I147" i="10"/>
  <c r="F148" i="10"/>
  <c r="G148" i="10"/>
  <c r="H148" i="10"/>
  <c r="I148" i="10"/>
  <c r="F149" i="10"/>
  <c r="G149" i="10"/>
  <c r="H149" i="10"/>
  <c r="I149" i="10"/>
  <c r="F150" i="10"/>
  <c r="G150" i="10"/>
  <c r="H150" i="10"/>
  <c r="I150" i="10"/>
  <c r="F24" i="10"/>
  <c r="F5" i="10"/>
  <c r="G5" i="10"/>
  <c r="H5" i="10"/>
  <c r="I5" i="10"/>
  <c r="F6" i="10"/>
  <c r="G6" i="10"/>
  <c r="H6" i="10"/>
  <c r="I6" i="10"/>
  <c r="F7" i="10"/>
  <c r="G7" i="10"/>
  <c r="H7" i="10"/>
  <c r="I7" i="10"/>
  <c r="F8" i="10"/>
  <c r="G8" i="10"/>
  <c r="H8" i="10"/>
  <c r="I8" i="10"/>
  <c r="F9" i="10"/>
  <c r="G9" i="10"/>
  <c r="H9" i="10"/>
  <c r="I9" i="10"/>
  <c r="F10" i="10"/>
  <c r="G10" i="10"/>
  <c r="H10" i="10"/>
  <c r="I10" i="10"/>
  <c r="F11" i="10"/>
  <c r="G11" i="10"/>
  <c r="H11" i="10"/>
  <c r="I11" i="10"/>
  <c r="F12" i="10"/>
  <c r="G12" i="10"/>
  <c r="H12" i="10"/>
  <c r="I12" i="10"/>
  <c r="F13" i="10"/>
  <c r="G13" i="10"/>
  <c r="H13" i="10"/>
  <c r="I13" i="10"/>
  <c r="F14" i="10"/>
  <c r="G14" i="10"/>
  <c r="H14" i="10"/>
  <c r="I14" i="10"/>
  <c r="F15" i="10"/>
  <c r="G15" i="10"/>
  <c r="H15" i="10"/>
  <c r="I15" i="10"/>
  <c r="F16" i="10"/>
  <c r="G16" i="10"/>
  <c r="H16" i="10"/>
  <c r="I16" i="10"/>
  <c r="F17" i="10"/>
  <c r="G17" i="10"/>
  <c r="H17" i="10"/>
  <c r="I17" i="10"/>
  <c r="F18" i="10"/>
  <c r="G18" i="10"/>
  <c r="H18" i="10"/>
  <c r="I18" i="10"/>
  <c r="F19" i="10"/>
  <c r="G19" i="10"/>
  <c r="H19" i="10"/>
  <c r="I19" i="10"/>
  <c r="F20" i="10"/>
  <c r="G20" i="10"/>
  <c r="H20" i="10"/>
  <c r="I20" i="10"/>
  <c r="F21" i="10"/>
  <c r="G21" i="10"/>
  <c r="H21" i="10"/>
  <c r="I21" i="10"/>
  <c r="F22" i="10"/>
  <c r="G22" i="10"/>
  <c r="H22" i="10"/>
  <c r="I22" i="10"/>
  <c r="F23" i="10"/>
  <c r="G23" i="10"/>
  <c r="H23" i="10"/>
  <c r="I23" i="10"/>
  <c r="G24" i="10"/>
  <c r="H24" i="10"/>
  <c r="I24" i="10"/>
  <c r="F4" i="10"/>
  <c r="G4" i="10"/>
  <c r="H4" i="10"/>
  <c r="I4" i="10"/>
  <c r="I3" i="10"/>
  <c r="H3" i="10"/>
  <c r="G3" i="10"/>
  <c r="F3" i="10"/>
  <c r="AD12" i="12"/>
  <c r="AD13" i="12"/>
  <c r="AD14" i="12"/>
  <c r="AD15" i="12"/>
  <c r="AD16" i="12"/>
  <c r="AD17" i="12"/>
  <c r="AD18" i="12"/>
  <c r="AD19" i="12"/>
  <c r="AD20" i="12"/>
  <c r="AD21" i="12"/>
  <c r="AD22" i="12"/>
  <c r="AD23" i="12"/>
  <c r="AD24" i="12"/>
  <c r="AD25" i="12"/>
  <c r="AD11" i="12"/>
  <c r="I37" i="19"/>
  <c r="AB35" i="19"/>
  <c r="I34" i="19"/>
  <c r="AB33" i="19"/>
  <c r="I33" i="19"/>
  <c r="AB32" i="19"/>
  <c r="I32" i="19"/>
  <c r="AB30" i="19"/>
  <c r="AB28" i="19"/>
  <c r="X26" i="19"/>
  <c r="T26" i="19"/>
  <c r="AT25" i="19"/>
  <c r="AS25" i="19"/>
  <c r="AR25" i="19"/>
  <c r="AU25" i="19" s="1"/>
  <c r="AK25" i="19"/>
  <c r="AH25" i="19"/>
  <c r="AF25" i="19"/>
  <c r="AG25" i="19" s="1"/>
  <c r="AC25" i="19"/>
  <c r="AB25" i="19"/>
  <c r="AA25" i="19"/>
  <c r="Z25" i="19"/>
  <c r="AT24" i="19"/>
  <c r="AS24" i="19"/>
  <c r="AR24" i="19"/>
  <c r="AU24" i="19" s="1"/>
  <c r="AK24" i="19"/>
  <c r="AH24" i="19"/>
  <c r="AF24" i="19"/>
  <c r="AG24" i="19" s="1"/>
  <c r="AC24" i="19"/>
  <c r="AB24" i="19"/>
  <c r="AA24" i="19"/>
  <c r="Z24" i="19"/>
  <c r="AT23" i="19"/>
  <c r="AS23" i="19"/>
  <c r="AR23" i="19"/>
  <c r="AU23" i="19" s="1"/>
  <c r="AK23" i="19"/>
  <c r="AH23" i="19"/>
  <c r="AF23" i="19"/>
  <c r="AG23" i="19" s="1"/>
  <c r="AC23" i="19"/>
  <c r="AB23" i="19"/>
  <c r="AA23" i="19"/>
  <c r="Z23" i="19"/>
  <c r="AT22" i="19"/>
  <c r="AS22" i="19"/>
  <c r="AR22" i="19"/>
  <c r="AU22" i="19" s="1"/>
  <c r="AK22" i="19"/>
  <c r="AH22" i="19"/>
  <c r="AF22" i="19"/>
  <c r="AG22" i="19" s="1"/>
  <c r="AC22" i="19"/>
  <c r="AB22" i="19"/>
  <c r="AA22" i="19"/>
  <c r="Z22" i="19"/>
  <c r="AT21" i="19"/>
  <c r="AS21" i="19"/>
  <c r="AR21" i="19"/>
  <c r="AU21" i="19" s="1"/>
  <c r="AP21" i="19"/>
  <c r="AK21" i="19"/>
  <c r="AH21" i="19"/>
  <c r="AF21" i="19"/>
  <c r="AG21" i="19" s="1"/>
  <c r="AC21" i="19"/>
  <c r="AD21" i="19" s="1"/>
  <c r="AB21" i="19"/>
  <c r="AA21" i="19"/>
  <c r="Z21" i="19"/>
  <c r="AT20" i="19"/>
  <c r="AS20" i="19"/>
  <c r="AR20" i="19"/>
  <c r="AU20" i="19" s="1"/>
  <c r="AP20" i="19"/>
  <c r="AK20" i="19"/>
  <c r="AH20" i="19"/>
  <c r="AF20" i="19"/>
  <c r="AG20" i="19" s="1"/>
  <c r="AC20" i="19"/>
  <c r="AD20" i="19" s="1"/>
  <c r="AB20" i="19"/>
  <c r="AA20" i="19"/>
  <c r="Z20" i="19"/>
  <c r="AT19" i="19"/>
  <c r="AS19" i="19"/>
  <c r="AR19" i="19"/>
  <c r="AU19" i="19" s="1"/>
  <c r="AP19" i="19"/>
  <c r="AK19" i="19"/>
  <c r="AH19" i="19"/>
  <c r="AF19" i="19"/>
  <c r="AG19" i="19" s="1"/>
  <c r="AC19" i="19"/>
  <c r="AD19" i="19" s="1"/>
  <c r="AB19" i="19"/>
  <c r="AA19" i="19"/>
  <c r="Z19" i="19"/>
  <c r="AT18" i="19"/>
  <c r="AS18" i="19"/>
  <c r="AR18" i="19"/>
  <c r="AU18" i="19" s="1"/>
  <c r="AP18" i="19"/>
  <c r="AK18" i="19"/>
  <c r="AH18" i="19"/>
  <c r="AF18" i="19"/>
  <c r="AG18" i="19" s="1"/>
  <c r="AC18" i="19"/>
  <c r="AD18" i="19" s="1"/>
  <c r="AB18" i="19"/>
  <c r="AA18" i="19"/>
  <c r="Z18" i="19"/>
  <c r="AT17" i="19"/>
  <c r="AS17" i="19"/>
  <c r="AR17" i="19"/>
  <c r="AU17" i="19" s="1"/>
  <c r="AK17" i="19"/>
  <c r="AH17" i="19"/>
  <c r="AF17" i="19"/>
  <c r="AG17" i="19" s="1"/>
  <c r="AC17" i="19"/>
  <c r="AB17" i="19"/>
  <c r="AA17" i="19"/>
  <c r="Z17" i="19"/>
  <c r="AT16" i="19"/>
  <c r="AS16" i="19"/>
  <c r="AR16" i="19"/>
  <c r="AU16" i="19" s="1"/>
  <c r="AK16" i="19"/>
  <c r="AH16" i="19"/>
  <c r="AF16" i="19"/>
  <c r="AG16" i="19" s="1"/>
  <c r="AC16" i="19"/>
  <c r="AB16" i="19"/>
  <c r="AA16" i="19"/>
  <c r="Z16" i="19"/>
  <c r="AT15" i="19"/>
  <c r="AS15" i="19"/>
  <c r="AR15" i="19"/>
  <c r="AU15" i="19" s="1"/>
  <c r="AP15" i="19"/>
  <c r="AK15" i="19"/>
  <c r="AH15" i="19"/>
  <c r="AF15" i="19"/>
  <c r="AG15" i="19" s="1"/>
  <c r="AC15" i="19"/>
  <c r="AD15" i="19" s="1"/>
  <c r="AB15" i="19"/>
  <c r="AA15" i="19"/>
  <c r="Z15" i="19"/>
  <c r="AT14" i="19"/>
  <c r="AS14" i="19"/>
  <c r="AR14" i="19"/>
  <c r="AU14" i="19" s="1"/>
  <c r="AP14" i="19"/>
  <c r="AK14" i="19"/>
  <c r="AH14" i="19"/>
  <c r="AF14" i="19"/>
  <c r="AG14" i="19" s="1"/>
  <c r="AC14" i="19"/>
  <c r="AD14" i="19" s="1"/>
  <c r="AB14" i="19"/>
  <c r="AA14" i="19"/>
  <c r="Z14" i="19"/>
  <c r="AT13" i="19"/>
  <c r="AS13" i="19"/>
  <c r="AR13" i="19"/>
  <c r="AU13" i="19" s="1"/>
  <c r="AP13" i="19"/>
  <c r="AK13" i="19"/>
  <c r="AH13" i="19"/>
  <c r="AF13" i="19"/>
  <c r="AG13" i="19" s="1"/>
  <c r="AC13" i="19"/>
  <c r="AD13" i="19" s="1"/>
  <c r="AB13" i="19"/>
  <c r="AA13" i="19"/>
  <c r="Z13" i="19"/>
  <c r="AT12" i="19"/>
  <c r="AS12" i="19"/>
  <c r="AR12" i="19"/>
  <c r="AU12" i="19" s="1"/>
  <c r="AK12" i="19"/>
  <c r="AH12" i="19"/>
  <c r="AF12" i="19"/>
  <c r="AG12" i="19" s="1"/>
  <c r="AC12" i="19"/>
  <c r="AB12" i="19"/>
  <c r="AA12" i="19"/>
  <c r="Z12" i="19"/>
  <c r="AT11" i="19"/>
  <c r="AS11" i="19"/>
  <c r="AR11" i="19"/>
  <c r="AU11" i="19" s="1"/>
  <c r="AK11" i="19"/>
  <c r="AH11" i="19"/>
  <c r="AF11" i="19"/>
  <c r="AG11" i="19" s="1"/>
  <c r="AC11" i="19"/>
  <c r="AB11" i="19"/>
  <c r="AA11" i="19"/>
  <c r="Z11" i="19"/>
  <c r="AG3" i="19"/>
  <c r="AG1" i="19"/>
  <c r="AB35" i="12"/>
  <c r="C28" i="19" l="1"/>
  <c r="AG5" i="19"/>
  <c r="AE11" i="19"/>
  <c r="AO11" i="19" s="1"/>
  <c r="AD11" i="19"/>
  <c r="AP11" i="19" s="1"/>
  <c r="AJ11" i="19"/>
  <c r="AI11" i="19"/>
  <c r="AN11" i="19"/>
  <c r="AM11" i="19"/>
  <c r="AL11" i="19"/>
  <c r="AO12" i="19"/>
  <c r="AE12" i="19"/>
  <c r="AD12" i="19"/>
  <c r="AP12" i="19" s="1"/>
  <c r="AJ12" i="19"/>
  <c r="AI12" i="19"/>
  <c r="AN12" i="19"/>
  <c r="AM12" i="19"/>
  <c r="AL12" i="19"/>
  <c r="AE13" i="19"/>
  <c r="AJ13" i="19"/>
  <c r="AI13" i="19"/>
  <c r="AN13" i="19"/>
  <c r="AM13" i="19"/>
  <c r="AL13" i="19"/>
  <c r="AO13" i="19" s="1"/>
  <c r="AE14" i="19"/>
  <c r="AJ14" i="19"/>
  <c r="AI14" i="19"/>
  <c r="AN14" i="19"/>
  <c r="AM14" i="19"/>
  <c r="AL14" i="19"/>
  <c r="AO14" i="19" s="1"/>
  <c r="AO15" i="19"/>
  <c r="AE15" i="19"/>
  <c r="AJ15" i="19"/>
  <c r="AI15" i="19"/>
  <c r="AN15" i="19"/>
  <c r="AM15" i="19"/>
  <c r="AL15" i="19"/>
  <c r="AE16" i="19"/>
  <c r="AD16" i="19"/>
  <c r="AP16" i="19" s="1"/>
  <c r="AJ16" i="19"/>
  <c r="AI16" i="19"/>
  <c r="AO16" i="19" s="1"/>
  <c r="AN16" i="19"/>
  <c r="AM16" i="19"/>
  <c r="AL16" i="19"/>
  <c r="AE17" i="19"/>
  <c r="AD17" i="19"/>
  <c r="AP17" i="19" s="1"/>
  <c r="AJ17" i="19"/>
  <c r="AI17" i="19"/>
  <c r="AO17" i="19" s="1"/>
  <c r="AN17" i="19"/>
  <c r="AM17" i="19"/>
  <c r="AL17" i="19"/>
  <c r="AE18" i="19"/>
  <c r="AJ18" i="19"/>
  <c r="AI18" i="19"/>
  <c r="AO18" i="19" s="1"/>
  <c r="AN18" i="19"/>
  <c r="AM18" i="19"/>
  <c r="AL18" i="19"/>
  <c r="AO19" i="19"/>
  <c r="AE19" i="19"/>
  <c r="AJ19" i="19"/>
  <c r="AI19" i="19"/>
  <c r="AN19" i="19"/>
  <c r="AM19" i="19"/>
  <c r="AL19" i="19"/>
  <c r="AO20" i="19"/>
  <c r="AE20" i="19"/>
  <c r="AJ20" i="19"/>
  <c r="AI20" i="19"/>
  <c r="AN20" i="19"/>
  <c r="AM20" i="19"/>
  <c r="AL20" i="19"/>
  <c r="AO21" i="19"/>
  <c r="AE21" i="19"/>
  <c r="AJ21" i="19"/>
  <c r="AI21" i="19"/>
  <c r="AN21" i="19"/>
  <c r="AM21" i="19"/>
  <c r="AL21" i="19"/>
  <c r="AE22" i="19"/>
  <c r="AD22" i="19"/>
  <c r="AP22" i="19" s="1"/>
  <c r="AJ22" i="19"/>
  <c r="AI22" i="19"/>
  <c r="AO22" i="19" s="1"/>
  <c r="AN22" i="19"/>
  <c r="AM22" i="19"/>
  <c r="AL22" i="19"/>
  <c r="AE23" i="19"/>
  <c r="AO23" i="19" s="1"/>
  <c r="AD23" i="19"/>
  <c r="AP23" i="19" s="1"/>
  <c r="AJ23" i="19"/>
  <c r="AI23" i="19"/>
  <c r="AN23" i="19"/>
  <c r="AM23" i="19"/>
  <c r="AL23" i="19"/>
  <c r="AO24" i="19"/>
  <c r="AE24" i="19"/>
  <c r="AD24" i="19"/>
  <c r="AP24" i="19" s="1"/>
  <c r="AJ24" i="19"/>
  <c r="AI24" i="19"/>
  <c r="AN24" i="19"/>
  <c r="AM24" i="19"/>
  <c r="AL24" i="19"/>
  <c r="AO25" i="19"/>
  <c r="AE25" i="19"/>
  <c r="AD25" i="19"/>
  <c r="AP25" i="19" s="1"/>
  <c r="AJ25" i="19"/>
  <c r="AI25" i="19"/>
  <c r="AN25" i="19"/>
  <c r="AM25" i="19"/>
  <c r="AL25" i="19"/>
  <c r="A19" i="19" l="1"/>
  <c r="A18" i="19"/>
  <c r="A17" i="19"/>
  <c r="A16" i="19"/>
  <c r="A15" i="19"/>
  <c r="A14" i="19"/>
  <c r="A25" i="19"/>
  <c r="AQ25" i="19"/>
  <c r="N25" i="19"/>
  <c r="R25" i="19" s="1"/>
  <c r="A24" i="19"/>
  <c r="AQ24" i="19"/>
  <c r="N24" i="19"/>
  <c r="R24" i="19" s="1"/>
  <c r="A23" i="19"/>
  <c r="AQ23" i="19"/>
  <c r="N23" i="19"/>
  <c r="R23" i="19" s="1"/>
  <c r="AQ22" i="19"/>
  <c r="N22" i="19"/>
  <c r="R22" i="19" s="1"/>
  <c r="A22" i="19"/>
  <c r="A21" i="19"/>
  <c r="AQ21" i="19"/>
  <c r="N21" i="19"/>
  <c r="R21" i="19" s="1"/>
  <c r="A20" i="19"/>
  <c r="AQ20" i="19"/>
  <c r="N20" i="19"/>
  <c r="R20" i="19" s="1"/>
  <c r="AQ19" i="19"/>
  <c r="N19" i="19"/>
  <c r="R19" i="19" s="1"/>
  <c r="AQ18" i="19"/>
  <c r="N18" i="19"/>
  <c r="R18" i="19" s="1"/>
  <c r="AQ17" i="19"/>
  <c r="N17" i="19"/>
  <c r="R17" i="19" s="1"/>
  <c r="AQ16" i="19"/>
  <c r="N16" i="19"/>
  <c r="R16" i="19" s="1"/>
  <c r="AQ15" i="19"/>
  <c r="N15" i="19"/>
  <c r="R15" i="19" s="1"/>
  <c r="AQ14" i="19"/>
  <c r="N14" i="19"/>
  <c r="R14" i="19" s="1"/>
  <c r="AQ13" i="19"/>
  <c r="N13" i="19"/>
  <c r="R13" i="19" s="1"/>
  <c r="AQ12" i="19"/>
  <c r="N12" i="19"/>
  <c r="R12" i="19" s="1"/>
  <c r="A11" i="19"/>
  <c r="AQ11" i="19"/>
  <c r="N11" i="19"/>
  <c r="M34" i="19"/>
  <c r="U25" i="19"/>
  <c r="U24" i="19"/>
  <c r="U23" i="19"/>
  <c r="U22" i="19"/>
  <c r="U21" i="19"/>
  <c r="U20" i="19"/>
  <c r="U19" i="19"/>
  <c r="U18" i="19"/>
  <c r="U17" i="19"/>
  <c r="U16" i="19"/>
  <c r="U15" i="19"/>
  <c r="U14" i="19"/>
  <c r="U13" i="19"/>
  <c r="U12" i="19"/>
  <c r="U11" i="19"/>
  <c r="U26" i="19" s="1"/>
  <c r="L35" i="19"/>
  <c r="L34" i="19"/>
  <c r="T33" i="19"/>
  <c r="S33" i="19"/>
  <c r="L33" i="19"/>
  <c r="T32" i="19"/>
  <c r="W32" i="19" s="1"/>
  <c r="S32" i="19"/>
  <c r="L32" i="19"/>
  <c r="W30" i="19"/>
  <c r="L30" i="19"/>
  <c r="L28" i="19"/>
  <c r="N26" i="19" l="1"/>
  <c r="R11" i="19"/>
  <c r="R26" i="19" s="1"/>
  <c r="W28" i="19" s="1"/>
  <c r="W37" i="19" s="1"/>
  <c r="AC12" i="12" l="1"/>
  <c r="AC13" i="12"/>
  <c r="AC14" i="12"/>
  <c r="AC15" i="12"/>
  <c r="AC16" i="12"/>
  <c r="AC17" i="12"/>
  <c r="AC18" i="12"/>
  <c r="AC19" i="12"/>
  <c r="AC20" i="12"/>
  <c r="AC21" i="12"/>
  <c r="AC22" i="12"/>
  <c r="AC23" i="12"/>
  <c r="AC24" i="12"/>
  <c r="AC25" i="12"/>
  <c r="AC11" i="12"/>
  <c r="X26" i="12"/>
  <c r="T26" i="12"/>
  <c r="AB28" i="12"/>
  <c r="AP21" i="12" l="1"/>
  <c r="AP20" i="12"/>
  <c r="AP19" i="12"/>
  <c r="AP18" i="12"/>
  <c r="AP15" i="12"/>
  <c r="AP14" i="12"/>
  <c r="AP13" i="12"/>
  <c r="AP25" i="12"/>
  <c r="AP24" i="12"/>
  <c r="AP22" i="12"/>
  <c r="AP17" i="12"/>
  <c r="AP16" i="12"/>
  <c r="AP12" i="12"/>
  <c r="AP23" i="12"/>
  <c r="AP11" i="12"/>
  <c r="I37" i="12" l="1"/>
  <c r="AB33" i="12"/>
  <c r="AB32" i="12"/>
  <c r="I34" i="12"/>
  <c r="I33" i="12"/>
  <c r="I32" i="12"/>
  <c r="Z21" i="12"/>
  <c r="AB21" i="12"/>
  <c r="AE21" i="12"/>
  <c r="AH21" i="12"/>
  <c r="AI21" i="12"/>
  <c r="AJ21" i="12"/>
  <c r="AK21" i="12"/>
  <c r="AA21" i="12" s="1"/>
  <c r="AL21" i="12"/>
  <c r="AM21" i="12"/>
  <c r="AN21" i="12"/>
  <c r="AR21" i="12"/>
  <c r="AS21" i="12"/>
  <c r="AT21" i="12"/>
  <c r="AU21" i="12"/>
  <c r="Z22" i="12"/>
  <c r="AB22" i="12"/>
  <c r="AE22" i="12"/>
  <c r="AH22" i="12"/>
  <c r="AI22" i="12"/>
  <c r="AJ22" i="12"/>
  <c r="AK22" i="12"/>
  <c r="AA22" i="12" s="1"/>
  <c r="AL22" i="12"/>
  <c r="AM22" i="12"/>
  <c r="AN22" i="12"/>
  <c r="AR22" i="12"/>
  <c r="AS22" i="12"/>
  <c r="AT22" i="12"/>
  <c r="AU22" i="12"/>
  <c r="Z23" i="12"/>
  <c r="AB23" i="12"/>
  <c r="AE23" i="12"/>
  <c r="AH23" i="12"/>
  <c r="AI23" i="12"/>
  <c r="AJ23" i="12"/>
  <c r="AK23" i="12"/>
  <c r="AA23" i="12" s="1"/>
  <c r="AL23" i="12"/>
  <c r="AM23" i="12"/>
  <c r="AN23" i="12"/>
  <c r="AR23" i="12"/>
  <c r="AS23" i="12"/>
  <c r="AT23" i="12"/>
  <c r="AU23" i="12"/>
  <c r="AB30" i="12"/>
  <c r="Z15" i="12"/>
  <c r="AB15" i="12"/>
  <c r="AE15" i="12"/>
  <c r="AH15" i="12"/>
  <c r="AI15" i="12"/>
  <c r="AJ15" i="12"/>
  <c r="AK15" i="12"/>
  <c r="AA15" i="12" s="1"/>
  <c r="AL15" i="12"/>
  <c r="AM15" i="12"/>
  <c r="AN15" i="12"/>
  <c r="AR15" i="12"/>
  <c r="AS15" i="12"/>
  <c r="AT15" i="12"/>
  <c r="AU15" i="12"/>
  <c r="Z16" i="12"/>
  <c r="AB16" i="12"/>
  <c r="AE16" i="12"/>
  <c r="AH16" i="12"/>
  <c r="AI16" i="12"/>
  <c r="AJ16" i="12"/>
  <c r="AK16" i="12"/>
  <c r="AA16" i="12" s="1"/>
  <c r="AL16" i="12"/>
  <c r="AM16" i="12"/>
  <c r="AN16" i="12"/>
  <c r="AR16" i="12"/>
  <c r="AS16" i="12"/>
  <c r="AT16" i="12"/>
  <c r="AU16" i="12"/>
  <c r="Z17" i="12"/>
  <c r="AB17" i="12"/>
  <c r="AE17" i="12"/>
  <c r="AH17" i="12"/>
  <c r="AI17" i="12"/>
  <c r="AJ17" i="12"/>
  <c r="AK17" i="12"/>
  <c r="AA17" i="12" s="1"/>
  <c r="AL17" i="12"/>
  <c r="AM17" i="12"/>
  <c r="AN17" i="12"/>
  <c r="AR17" i="12"/>
  <c r="AS17" i="12"/>
  <c r="AT17" i="12"/>
  <c r="AU17" i="12"/>
  <c r="Z18" i="12"/>
  <c r="AB18" i="12"/>
  <c r="AE18" i="12"/>
  <c r="AH18" i="12"/>
  <c r="AI18" i="12"/>
  <c r="AJ18" i="12"/>
  <c r="AK18" i="12"/>
  <c r="AA18" i="12" s="1"/>
  <c r="AL18" i="12"/>
  <c r="AM18" i="12"/>
  <c r="AN18" i="12"/>
  <c r="AR18" i="12"/>
  <c r="AS18" i="12"/>
  <c r="AT18" i="12"/>
  <c r="AU18" i="12"/>
  <c r="Z19" i="12"/>
  <c r="AB19" i="12"/>
  <c r="AE19" i="12"/>
  <c r="AH19" i="12"/>
  <c r="AI19" i="12"/>
  <c r="AJ19" i="12"/>
  <c r="AK19" i="12"/>
  <c r="AA19" i="12" s="1"/>
  <c r="AL19" i="12"/>
  <c r="AM19" i="12"/>
  <c r="AN19" i="12"/>
  <c r="AR19" i="12"/>
  <c r="AS19" i="12"/>
  <c r="AT19" i="12"/>
  <c r="AU19" i="12"/>
  <c r="Z20" i="12"/>
  <c r="AB20" i="12"/>
  <c r="AE20" i="12"/>
  <c r="AH20" i="12"/>
  <c r="AI20" i="12"/>
  <c r="AJ20" i="12"/>
  <c r="AK20" i="12"/>
  <c r="AA20" i="12" s="1"/>
  <c r="AL20" i="12"/>
  <c r="AM20" i="12"/>
  <c r="AN20" i="12"/>
  <c r="AR20" i="12"/>
  <c r="AS20" i="12"/>
  <c r="AT20" i="12"/>
  <c r="AU20" i="12"/>
  <c r="Z24" i="12"/>
  <c r="AB24" i="12"/>
  <c r="AE24" i="12"/>
  <c r="AH24" i="12"/>
  <c r="AI24" i="12"/>
  <c r="AJ24" i="12"/>
  <c r="AK24" i="12"/>
  <c r="AA24" i="12" s="1"/>
  <c r="AL24" i="12"/>
  <c r="AM24" i="12"/>
  <c r="AN24" i="12"/>
  <c r="AR24" i="12"/>
  <c r="AS24" i="12"/>
  <c r="AT24" i="12"/>
  <c r="AU24" i="12"/>
  <c r="Z25" i="12"/>
  <c r="AB25" i="12"/>
  <c r="AE25" i="12"/>
  <c r="AH25" i="12"/>
  <c r="AI25" i="12"/>
  <c r="AJ25" i="12"/>
  <c r="AK25" i="12"/>
  <c r="AA25" i="12" s="1"/>
  <c r="AL25" i="12"/>
  <c r="AM25" i="12"/>
  <c r="AN25" i="12"/>
  <c r="AR25" i="12"/>
  <c r="AS25" i="12"/>
  <c r="AT25" i="12"/>
  <c r="AU25" i="12"/>
  <c r="Z12" i="12"/>
  <c r="Z13" i="12"/>
  <c r="Z14" i="12"/>
  <c r="Z11" i="12"/>
  <c r="AG3" i="12"/>
  <c r="AT12" i="12"/>
  <c r="AT13" i="12"/>
  <c r="AT14" i="12"/>
  <c r="AT11" i="12"/>
  <c r="AS12" i="12"/>
  <c r="AS13" i="12"/>
  <c r="AS14" i="12"/>
  <c r="AS11" i="12"/>
  <c r="AR12" i="12"/>
  <c r="AU12" i="12" s="1"/>
  <c r="AR13" i="12"/>
  <c r="AU13" i="12" s="1"/>
  <c r="AR14" i="12"/>
  <c r="AU14" i="12" s="1"/>
  <c r="AR11" i="12"/>
  <c r="AU11" i="12" s="1"/>
  <c r="AB12" i="12"/>
  <c r="AB13" i="12"/>
  <c r="AB14" i="12"/>
  <c r="AB11" i="12"/>
  <c r="AE11" i="12" s="1"/>
  <c r="AH14" i="12"/>
  <c r="AJ14" i="12" s="1"/>
  <c r="AK14" i="12"/>
  <c r="AA14" i="12" s="1"/>
  <c r="AK12" i="12"/>
  <c r="AA12" i="12" s="1"/>
  <c r="AK13" i="12"/>
  <c r="AA13" i="12" s="1"/>
  <c r="AK11" i="12"/>
  <c r="AA11" i="12" s="1"/>
  <c r="AH13" i="12"/>
  <c r="AJ13" i="12" s="1"/>
  <c r="AH12" i="12"/>
  <c r="AJ12" i="12" s="1"/>
  <c r="AH11" i="12"/>
  <c r="AJ11" i="12" s="1"/>
  <c r="D228" i="10"/>
  <c r="I228" i="10" s="1"/>
  <c r="H228" i="10"/>
  <c r="G228" i="10"/>
  <c r="T13" i="10" l="1"/>
  <c r="A25" i="12"/>
  <c r="A24" i="12"/>
  <c r="A20" i="12"/>
  <c r="A19" i="12"/>
  <c r="A18" i="12"/>
  <c r="A17" i="12"/>
  <c r="A16" i="12"/>
  <c r="A15" i="12"/>
  <c r="A23" i="12"/>
  <c r="A22" i="12"/>
  <c r="A21" i="12"/>
  <c r="C28" i="12"/>
  <c r="AF21" i="12"/>
  <c r="AF23" i="12"/>
  <c r="AF22" i="12"/>
  <c r="AF25" i="12"/>
  <c r="AF24" i="12"/>
  <c r="AF20" i="12"/>
  <c r="AF19" i="12"/>
  <c r="AF18" i="12"/>
  <c r="AF17" i="12"/>
  <c r="AF16" i="12"/>
  <c r="AF15" i="12"/>
  <c r="AM11" i="12"/>
  <c r="AN11" i="12"/>
  <c r="AM13" i="12"/>
  <c r="AN13" i="12"/>
  <c r="AM12" i="12"/>
  <c r="AN12" i="12"/>
  <c r="AM14" i="12"/>
  <c r="AN14" i="12"/>
  <c r="AG5" i="12"/>
  <c r="L35" i="12" s="1"/>
  <c r="AG1" i="12"/>
  <c r="AI11" i="12"/>
  <c r="AF11" i="12"/>
  <c r="AG11" i="12" s="1"/>
  <c r="AI12" i="12"/>
  <c r="AF12" i="12"/>
  <c r="AG12" i="12" s="1"/>
  <c r="AI13" i="12"/>
  <c r="AF13" i="12"/>
  <c r="AG13" i="12" s="1"/>
  <c r="AI14" i="12"/>
  <c r="AF14" i="12"/>
  <c r="AG14" i="12" s="1"/>
  <c r="AE14" i="12"/>
  <c r="AE13" i="12"/>
  <c r="AE12" i="12"/>
  <c r="AL11" i="12"/>
  <c r="AL13" i="12"/>
  <c r="AL12" i="12"/>
  <c r="AO12" i="12" s="1"/>
  <c r="AL14" i="12"/>
  <c r="AO14" i="12" s="1"/>
  <c r="A14" i="12" l="1"/>
  <c r="A12" i="12"/>
  <c r="A13" i="12"/>
  <c r="A11" i="12"/>
  <c r="N14" i="12"/>
  <c r="N12" i="12"/>
  <c r="AO11" i="12"/>
  <c r="N11" i="12" s="1"/>
  <c r="U12" i="12"/>
  <c r="U13" i="12"/>
  <c r="U14" i="12"/>
  <c r="U15" i="12"/>
  <c r="U16" i="12"/>
  <c r="U17" i="12"/>
  <c r="U18" i="12"/>
  <c r="U19" i="12"/>
  <c r="U20" i="12"/>
  <c r="U21" i="12"/>
  <c r="U22" i="12"/>
  <c r="U23" i="12"/>
  <c r="U24" i="12"/>
  <c r="U25" i="12"/>
  <c r="W30" i="12"/>
  <c r="S33" i="12"/>
  <c r="S32" i="12"/>
  <c r="T32" i="12"/>
  <c r="T33" i="12"/>
  <c r="L28" i="12"/>
  <c r="L30" i="12"/>
  <c r="AO13" i="12"/>
  <c r="N13" i="12" s="1"/>
  <c r="M34" i="12"/>
  <c r="L33" i="12"/>
  <c r="L34" i="12"/>
  <c r="L32" i="12"/>
  <c r="AG21" i="12"/>
  <c r="AO21" i="12"/>
  <c r="N21" i="12" s="1"/>
  <c r="AG22" i="12"/>
  <c r="AO22" i="12"/>
  <c r="N22" i="12" s="1"/>
  <c r="AG23" i="12"/>
  <c r="AO23" i="12"/>
  <c r="N23" i="12" s="1"/>
  <c r="AG20" i="12"/>
  <c r="AO20" i="12"/>
  <c r="N20" i="12" s="1"/>
  <c r="AG15" i="12"/>
  <c r="AO15" i="12"/>
  <c r="AG16" i="12"/>
  <c r="AO16" i="12"/>
  <c r="N16" i="12" s="1"/>
  <c r="AG17" i="12"/>
  <c r="AO17" i="12"/>
  <c r="N17" i="12" s="1"/>
  <c r="AG18" i="12"/>
  <c r="AO18" i="12"/>
  <c r="N18" i="12" s="1"/>
  <c r="AG19" i="12"/>
  <c r="AO19" i="12"/>
  <c r="N19" i="12" s="1"/>
  <c r="AG24" i="12"/>
  <c r="AO24" i="12"/>
  <c r="N24" i="12" s="1"/>
  <c r="AG25" i="12"/>
  <c r="AO25" i="12"/>
  <c r="N25" i="12" s="1"/>
  <c r="U11" i="12"/>
  <c r="U26" i="12" s="1"/>
  <c r="AQ14" i="12"/>
  <c r="R14" i="12" s="1"/>
  <c r="AQ12" i="12"/>
  <c r="R12" i="12" s="1"/>
  <c r="AQ13" i="12"/>
  <c r="AQ11" i="12"/>
  <c r="W32" i="12" l="1"/>
  <c r="R13" i="12"/>
  <c r="AQ15" i="12"/>
  <c r="N15" i="12"/>
  <c r="R15" i="12" s="1"/>
  <c r="AQ21" i="12"/>
  <c r="R21" i="12" s="1"/>
  <c r="AQ20" i="12"/>
  <c r="R20" i="12" s="1"/>
  <c r="AQ25" i="12"/>
  <c r="R25" i="12" s="1"/>
  <c r="AQ24" i="12"/>
  <c r="R24" i="12" s="1"/>
  <c r="AQ22" i="12"/>
  <c r="R22" i="12" s="1"/>
  <c r="AQ23" i="12"/>
  <c r="R23" i="12" s="1"/>
  <c r="AQ19" i="12"/>
  <c r="R19" i="12" s="1"/>
  <c r="AQ16" i="12"/>
  <c r="R16" i="12" s="1"/>
  <c r="AQ18" i="12"/>
  <c r="R18" i="12" s="1"/>
  <c r="AQ17" i="12"/>
  <c r="R17" i="12" s="1"/>
  <c r="R11" i="12"/>
  <c r="N26" i="12" l="1"/>
  <c r="R26" i="12" l="1"/>
  <c r="W28" i="12" s="1"/>
  <c r="W37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Niels Ihlenburg</author>
  </authors>
  <commentList>
    <comment ref="A7" authorId="0" shapeId="0" xr:uid="{745293E9-3D22-44FB-9D29-E8B6FD4CD54D}">
      <text>
        <r>
          <rPr>
            <b/>
            <sz val="9"/>
            <color indexed="81"/>
            <rFont val="Segoe UI"/>
            <family val="2"/>
          </rPr>
          <t>Hinweis</t>
        </r>
      </text>
    </comment>
    <comment ref="E10" authorId="0" shapeId="0" xr:uid="{7027F5BD-82D7-4E62-9215-DC8D1C83C1ED}">
      <text>
        <r>
          <rPr>
            <sz val="9"/>
            <color indexed="81"/>
            <rFont val="Segoe UI"/>
            <family val="2"/>
          </rPr>
          <t>Für</t>
        </r>
        <r>
          <rPr>
            <b/>
            <sz val="9"/>
            <color indexed="81"/>
            <rFont val="Segoe UI"/>
            <family val="2"/>
          </rPr>
          <t xml:space="preserve"> Reisetage mit eintägigen Reisen </t>
        </r>
        <r>
          <rPr>
            <sz val="9"/>
            <color indexed="81"/>
            <rFont val="Segoe UI"/>
            <family val="2"/>
          </rPr>
          <t xml:space="preserve">werden Verpflegungspauschalen nur gewährt, wenn die Reisedauer mehr als 8 Stunden betragen hat. </t>
        </r>
      </text>
    </comment>
    <comment ref="S10" authorId="0" shapeId="0" xr:uid="{CCEED311-F7A3-408A-9A11-3BD6B582CC77}">
      <text>
        <r>
          <rPr>
            <sz val="9"/>
            <color indexed="81"/>
            <rFont val="Segoe UI"/>
            <family val="2"/>
          </rPr>
          <t xml:space="preserve">Bitte beachten Sie, dass Angaben nur an solchen Tagen zu machen sind, an denen eine </t>
        </r>
        <r>
          <rPr>
            <b/>
            <sz val="9"/>
            <color indexed="81"/>
            <rFont val="Segoe UI"/>
            <family val="2"/>
          </rPr>
          <t xml:space="preserve">Übernachtung durch den Arbeitnehmer finanziert </t>
        </r>
        <r>
          <rPr>
            <sz val="9"/>
            <color indexed="81"/>
            <rFont val="Segoe UI"/>
            <family val="2"/>
          </rPr>
          <t xml:space="preserve">wurde. 
Bitte beachten Sie zudem, dass an </t>
        </r>
        <r>
          <rPr>
            <b/>
            <sz val="9"/>
            <color indexed="81"/>
            <rFont val="Segoe UI"/>
            <family val="2"/>
          </rPr>
          <t>Reisetagen mit einer Beförderung mit Flugzeugen/ auf Schiffen</t>
        </r>
        <r>
          <rPr>
            <sz val="9"/>
            <color indexed="81"/>
            <rFont val="Segoe UI"/>
            <family val="2"/>
          </rPr>
          <t xml:space="preserve"> jeweils der Tag maßgebend ist, der als Aufenthaltsort angegeben wurde. </t>
        </r>
      </text>
    </comment>
    <comment ref="T34" authorId="0" shapeId="0" xr:uid="{2AF0586B-67D0-44C2-8439-7B1C88E6C3E7}">
      <text>
        <r>
          <rPr>
            <sz val="9"/>
            <color indexed="81"/>
            <rFont val="Segoe UI"/>
            <family val="2"/>
          </rPr>
          <t xml:space="preserve">Für die betriebliche/berufliche Nutzung eines privaten Fahrrads  können </t>
        </r>
        <r>
          <rPr>
            <b/>
            <sz val="9"/>
            <color indexed="81"/>
            <rFont val="Segoe UI"/>
            <family val="2"/>
          </rPr>
          <t>pro Monat 5 Euro</t>
        </r>
        <r>
          <rPr>
            <sz val="9"/>
            <color indexed="81"/>
            <rFont val="Segoe UI"/>
            <family val="2"/>
          </rPr>
          <t xml:space="preserve"> angesetzt werden - vorausgesetzt, das Fahrrad wurde für </t>
        </r>
        <r>
          <rPr>
            <b/>
            <sz val="9"/>
            <color indexed="81"/>
            <rFont val="Segoe UI"/>
            <family val="2"/>
          </rPr>
          <t>mindestens 2 Fahrstrecken</t>
        </r>
        <r>
          <rPr>
            <sz val="9"/>
            <color indexed="81"/>
            <rFont val="Segoe UI"/>
            <family val="2"/>
          </rPr>
          <t xml:space="preserve"> verwendet. 
</t>
        </r>
        <r>
          <rPr>
            <u/>
            <sz val="9"/>
            <color indexed="81"/>
            <rFont val="Segoe UI"/>
            <family val="2"/>
          </rPr>
          <t>Gilt nicht für</t>
        </r>
        <r>
          <rPr>
            <sz val="9"/>
            <color indexed="81"/>
            <rFont val="Segoe UI"/>
            <family val="2"/>
          </rPr>
          <t xml:space="preserve"> Fahrten zwischen Wohnung und Betriebsstätte bzw. regelmäßiger Tätigkeitsstätte.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Niels Ihlenburg</author>
  </authors>
  <commentList>
    <comment ref="E10" authorId="0" shapeId="0" xr:uid="{92B09F02-7D08-4CFA-902F-722A4658EBF1}">
      <text>
        <r>
          <rPr>
            <sz val="9"/>
            <color indexed="81"/>
            <rFont val="Segoe UI"/>
            <family val="2"/>
          </rPr>
          <t>Für</t>
        </r>
        <r>
          <rPr>
            <b/>
            <sz val="9"/>
            <color indexed="81"/>
            <rFont val="Segoe UI"/>
            <family val="2"/>
          </rPr>
          <t xml:space="preserve"> Reisetage mit eintägigen Reisen </t>
        </r>
        <r>
          <rPr>
            <sz val="9"/>
            <color indexed="81"/>
            <rFont val="Segoe UI"/>
            <family val="2"/>
          </rPr>
          <t xml:space="preserve">werden Verpflegungspauschalen nur gewährt, wenn die Reisedauer mehr als 8 Stunden betragen hat. </t>
        </r>
      </text>
    </comment>
    <comment ref="S10" authorId="0" shapeId="0" xr:uid="{398A3317-60D0-4150-A928-9EA923B63BCC}">
      <text>
        <r>
          <rPr>
            <sz val="9"/>
            <color indexed="81"/>
            <rFont val="Segoe UI"/>
            <family val="2"/>
          </rPr>
          <t xml:space="preserve">Bitte beachten Sie, dass Angaben nur an solchen Tagen zu machen sind, an denen eine </t>
        </r>
        <r>
          <rPr>
            <b/>
            <sz val="9"/>
            <color indexed="81"/>
            <rFont val="Segoe UI"/>
            <family val="2"/>
          </rPr>
          <t xml:space="preserve">Übernachtung durch den Arbeitnehmer finanziert </t>
        </r>
        <r>
          <rPr>
            <sz val="9"/>
            <color indexed="81"/>
            <rFont val="Segoe UI"/>
            <family val="2"/>
          </rPr>
          <t xml:space="preserve">wurde. 
Bitte beachten Sie zudem, dass an </t>
        </r>
        <r>
          <rPr>
            <b/>
            <sz val="9"/>
            <color indexed="81"/>
            <rFont val="Segoe UI"/>
            <family val="2"/>
          </rPr>
          <t>Reisetagen mit einer Beförderung mit Flugzeugen/ auf Schiffen</t>
        </r>
        <r>
          <rPr>
            <sz val="9"/>
            <color indexed="81"/>
            <rFont val="Segoe UI"/>
            <family val="2"/>
          </rPr>
          <t xml:space="preserve"> jeweils der Tag maßgebend ist, der als Aufenthaltsort angegeben wurde. </t>
        </r>
      </text>
    </comment>
    <comment ref="T34" authorId="0" shapeId="0" xr:uid="{BD64AFCD-9EFC-45AA-906E-1397754A2A69}">
      <text>
        <r>
          <rPr>
            <sz val="9"/>
            <color indexed="81"/>
            <rFont val="Segoe UI"/>
            <family val="2"/>
          </rPr>
          <t xml:space="preserve">Für die betriebliche/berufliche Nutzung eines privaten Fahrrads  können </t>
        </r>
        <r>
          <rPr>
            <b/>
            <sz val="9"/>
            <color indexed="81"/>
            <rFont val="Segoe UI"/>
            <family val="2"/>
          </rPr>
          <t>pro Monat 5 Euro</t>
        </r>
        <r>
          <rPr>
            <sz val="9"/>
            <color indexed="81"/>
            <rFont val="Segoe UI"/>
            <family val="2"/>
          </rPr>
          <t xml:space="preserve"> angesetzt werden - vorausgesetzt, das Fahrrad wurde für </t>
        </r>
        <r>
          <rPr>
            <b/>
            <sz val="9"/>
            <color indexed="81"/>
            <rFont val="Segoe UI"/>
            <family val="2"/>
          </rPr>
          <t>mindestens 2 Fahrstrecken</t>
        </r>
        <r>
          <rPr>
            <sz val="9"/>
            <color indexed="81"/>
            <rFont val="Segoe UI"/>
            <family val="2"/>
          </rPr>
          <t xml:space="preserve"> verwendet. 
</t>
        </r>
        <r>
          <rPr>
            <u/>
            <sz val="9"/>
            <color indexed="81"/>
            <rFont val="Segoe UI"/>
            <family val="2"/>
          </rPr>
          <t>Gilt nicht für</t>
        </r>
        <r>
          <rPr>
            <sz val="9"/>
            <color indexed="81"/>
            <rFont val="Segoe UI"/>
            <family val="2"/>
          </rPr>
          <t xml:space="preserve"> Fahrten zwischen Wohnung und Betriebsstätte bzw. regelmäßiger Tätigkeitsstätte.</t>
        </r>
      </text>
    </comment>
  </commentList>
</comments>
</file>

<file path=xl/sharedStrings.xml><?xml version="1.0" encoding="utf-8"?>
<sst xmlns="http://schemas.openxmlformats.org/spreadsheetml/2006/main" count="908" uniqueCount="669">
  <si>
    <t>Übernachtungskosten</t>
  </si>
  <si>
    <t>EUR</t>
  </si>
  <si>
    <t>Datum</t>
  </si>
  <si>
    <t>Übernachtung</t>
  </si>
  <si>
    <t>Afghanistan</t>
  </si>
  <si>
    <t>Ägypten</t>
  </si>
  <si>
    <t>Äthiopien</t>
  </si>
  <si>
    <t>Äquatorialguinea</t>
  </si>
  <si>
    <t>Albanien</t>
  </si>
  <si>
    <t>Algerien</t>
  </si>
  <si>
    <t>Andorra</t>
  </si>
  <si>
    <t>Angola</t>
  </si>
  <si>
    <t>Argentinien</t>
  </si>
  <si>
    <t>Armenien</t>
  </si>
  <si>
    <t>Aserbaidschan</t>
  </si>
  <si>
    <t>Bahrain</t>
  </si>
  <si>
    <t>Bangladesch</t>
  </si>
  <si>
    <t>Barbados</t>
  </si>
  <si>
    <t>Belgien</t>
  </si>
  <si>
    <t>Benin</t>
  </si>
  <si>
    <t>Bolivien</t>
  </si>
  <si>
    <t>Botsuana</t>
  </si>
  <si>
    <t>Bulgarien</t>
  </si>
  <si>
    <t>Burkina Faso</t>
  </si>
  <si>
    <t>Burundi</t>
  </si>
  <si>
    <t>Chile</t>
  </si>
  <si>
    <t>Costa Rica</t>
  </si>
  <si>
    <t>Dänemark</t>
  </si>
  <si>
    <t>Dominikanische Republik</t>
  </si>
  <si>
    <t>Dschibuti</t>
  </si>
  <si>
    <t>Ecuador</t>
  </si>
  <si>
    <t>El Salvador</t>
  </si>
  <si>
    <t>Eritrea</t>
  </si>
  <si>
    <t>Estland</t>
  </si>
  <si>
    <t>Fidschi</t>
  </si>
  <si>
    <t>Finnland</t>
  </si>
  <si>
    <t>Gabun</t>
  </si>
  <si>
    <t>Gambia</t>
  </si>
  <si>
    <t>Georgien</t>
  </si>
  <si>
    <t>Ghana</t>
  </si>
  <si>
    <t>Guatemala</t>
  </si>
  <si>
    <t>Guinea</t>
  </si>
  <si>
    <t>Guinea-Bissau</t>
  </si>
  <si>
    <t>Haiti</t>
  </si>
  <si>
    <t>Honduras</t>
  </si>
  <si>
    <t>Indonesien</t>
  </si>
  <si>
    <t>Irland</t>
  </si>
  <si>
    <t>Island</t>
  </si>
  <si>
    <t>Israel</t>
  </si>
  <si>
    <t>Jamaika</t>
  </si>
  <si>
    <t>Jemen</t>
  </si>
  <si>
    <t>Jordanien</t>
  </si>
  <si>
    <t>Kambodscha</t>
  </si>
  <si>
    <t>Kamerun</t>
  </si>
  <si>
    <t>Kap Verde</t>
  </si>
  <si>
    <t>Kasachstan</t>
  </si>
  <si>
    <t>Katar</t>
  </si>
  <si>
    <t>Kenia</t>
  </si>
  <si>
    <t>Kirgisistan</t>
  </si>
  <si>
    <t>Kolumbien</t>
  </si>
  <si>
    <t>Kosovo</t>
  </si>
  <si>
    <t>Kroatien</t>
  </si>
  <si>
    <t>Kuba</t>
  </si>
  <si>
    <t>Kuwait</t>
  </si>
  <si>
    <t>Laos</t>
  </si>
  <si>
    <t>Lesotho</t>
  </si>
  <si>
    <t>Lettland</t>
  </si>
  <si>
    <t>Libanon</t>
  </si>
  <si>
    <t>Libyen</t>
  </si>
  <si>
    <t>Liechtenstein</t>
  </si>
  <si>
    <t>Litauen</t>
  </si>
  <si>
    <t>Luxemburg</t>
  </si>
  <si>
    <t>Madagaskar</t>
  </si>
  <si>
    <t>Malawi</t>
  </si>
  <si>
    <t>Malaysia</t>
  </si>
  <si>
    <t>Malediven</t>
  </si>
  <si>
    <t>Mali</t>
  </si>
  <si>
    <t>Malta</t>
  </si>
  <si>
    <t>Marokko</t>
  </si>
  <si>
    <t>Marshall Inseln</t>
  </si>
  <si>
    <t>Mauretanien</t>
  </si>
  <si>
    <t>Mauritius</t>
  </si>
  <si>
    <t>Mexiko</t>
  </si>
  <si>
    <t>Moldau, Republik</t>
  </si>
  <si>
    <t>Monaco</t>
  </si>
  <si>
    <t>Mongolei</t>
  </si>
  <si>
    <t>Montenegro</t>
  </si>
  <si>
    <t>Mosambik</t>
  </si>
  <si>
    <t>Namibia</t>
  </si>
  <si>
    <t>Nepal</t>
  </si>
  <si>
    <t>Neuseeland</t>
  </si>
  <si>
    <t>Nicaragua</t>
  </si>
  <si>
    <t>Niederlande</t>
  </si>
  <si>
    <t>Niger</t>
  </si>
  <si>
    <t>Nigeria</t>
  </si>
  <si>
    <t>Norwegen</t>
  </si>
  <si>
    <t>Österreich</t>
  </si>
  <si>
    <t>Oman</t>
  </si>
  <si>
    <t>Palau</t>
  </si>
  <si>
    <t>Panama</t>
  </si>
  <si>
    <t>Papua-Neuguinea</t>
  </si>
  <si>
    <t>Paraguay</t>
  </si>
  <si>
    <t>Peru</t>
  </si>
  <si>
    <t>Philippinen</t>
  </si>
  <si>
    <t>Portugal</t>
  </si>
  <si>
    <t>Ruanda</t>
  </si>
  <si>
    <t>Sambia</t>
  </si>
  <si>
    <t>Samoa</t>
  </si>
  <si>
    <t>San Marino</t>
  </si>
  <si>
    <t>Schweden</t>
  </si>
  <si>
    <t>Senegal</t>
  </si>
  <si>
    <t>Serbien</t>
  </si>
  <si>
    <t>Sierra Leone</t>
  </si>
  <si>
    <t>Simbabwe</t>
  </si>
  <si>
    <t>Singapur</t>
  </si>
  <si>
    <t>Slowakische Republik</t>
  </si>
  <si>
    <t>Slowenien</t>
  </si>
  <si>
    <t>Sudan</t>
  </si>
  <si>
    <t>Südsudan</t>
  </si>
  <si>
    <t>Tadschikistan</t>
  </si>
  <si>
    <t>Taiwan</t>
  </si>
  <si>
    <t>Tansania</t>
  </si>
  <si>
    <t>Thailand</t>
  </si>
  <si>
    <t>Togo</t>
  </si>
  <si>
    <t>Tonga</t>
  </si>
  <si>
    <t>Trinidad und Tobago</t>
  </si>
  <si>
    <t>Tschad</t>
  </si>
  <si>
    <t>Tschechische Republik</t>
  </si>
  <si>
    <t>Tunesien</t>
  </si>
  <si>
    <t>Turkmenistan</t>
  </si>
  <si>
    <t>Uganda</t>
  </si>
  <si>
    <t>Ukraine</t>
  </si>
  <si>
    <t>Ungarn</t>
  </si>
  <si>
    <t>Uruguay</t>
  </si>
  <si>
    <t>Usbekistan</t>
  </si>
  <si>
    <t>Venezuela</t>
  </si>
  <si>
    <t>Vietnam</t>
  </si>
  <si>
    <t>Weißrussland</t>
  </si>
  <si>
    <t>Zentralafrikanische Republik</t>
  </si>
  <si>
    <t>Zypern</t>
  </si>
  <si>
    <t>Deutschland</t>
  </si>
  <si>
    <t>Erläuterungen</t>
  </si>
  <si>
    <t>Name:</t>
  </si>
  <si>
    <t>Kongo, Republik</t>
  </si>
  <si>
    <t>Korea, Republik</t>
  </si>
  <si>
    <t>Frühstück</t>
  </si>
  <si>
    <t>Abendessen</t>
  </si>
  <si>
    <t>Mittagessen</t>
  </si>
  <si>
    <t>Vereinigtes Königreich von Großbritannien und Nordirland: London</t>
  </si>
  <si>
    <t>Vereinigtes Königreich von Großbritannien und Nordirland (Übriges)</t>
  </si>
  <si>
    <t>Türkei: Izmir</t>
  </si>
  <si>
    <t>Türkei: Istanbul</t>
  </si>
  <si>
    <t>Türkei (Übrige)</t>
  </si>
  <si>
    <t>Südafrika: Kapstadt</t>
  </si>
  <si>
    <t>Südafrika: Johannisburg</t>
  </si>
  <si>
    <t>Südafrika (Übriges)</t>
  </si>
  <si>
    <t>Syrien</t>
  </si>
  <si>
    <t>Spanien: Palma de Mallorca</t>
  </si>
  <si>
    <t>Spanien: Madrid</t>
  </si>
  <si>
    <t>Spanien: Kanarische Inseln</t>
  </si>
  <si>
    <t>Spanien: Barcelona</t>
  </si>
  <si>
    <t>Spanien (Übriges)</t>
  </si>
  <si>
    <t>Schweiz: Genf</t>
  </si>
  <si>
    <t>Schweiz (Übrige)</t>
  </si>
  <si>
    <t>Russische Föderation: Moskau</t>
  </si>
  <si>
    <t>Russische Föderation (Übrige)</t>
  </si>
  <si>
    <t>Rumänien: Bukarest</t>
  </si>
  <si>
    <t>Rumänien (Übriges)</t>
  </si>
  <si>
    <t>Polen: Warschau</t>
  </si>
  <si>
    <t>Polen: Breslau</t>
  </si>
  <si>
    <t>Polen (Übriges)</t>
  </si>
  <si>
    <t>Pakistan: Islamabad</t>
  </si>
  <si>
    <t>Pakistan (Übriges)</t>
  </si>
  <si>
    <t>Korea, Demokratische Volksrepublik (Nordkorea)</t>
  </si>
  <si>
    <t>Kanada: Vancouver</t>
  </si>
  <si>
    <t>Kanada: Toronto</t>
  </si>
  <si>
    <t>Kanada: Ottawa</t>
  </si>
  <si>
    <t>Kanada (Übriges)</t>
  </si>
  <si>
    <t>Japan: Tokio</t>
  </si>
  <si>
    <t>Japan (Übriges)</t>
  </si>
  <si>
    <t>Italien: Rom</t>
  </si>
  <si>
    <t>Italien: Mailand</t>
  </si>
  <si>
    <t>Italien (Übriges)</t>
  </si>
  <si>
    <t>Indien: Neu-Delhi</t>
  </si>
  <si>
    <t>Indien (Übriges)</t>
  </si>
  <si>
    <t>Griechenland: Athen</t>
  </si>
  <si>
    <t>Griechenland (Übriges)</t>
  </si>
  <si>
    <t>Frankreich (Übriges)</t>
  </si>
  <si>
    <t>China: Shanghai</t>
  </si>
  <si>
    <t>China: Peking</t>
  </si>
  <si>
    <t>China: Hongkong</t>
  </si>
  <si>
    <t>China: Chengdu</t>
  </si>
  <si>
    <t>China (Übriges)</t>
  </si>
  <si>
    <t>Brasilien: São Paulo</t>
  </si>
  <si>
    <t>Brasilien: Rio de Janeiro</t>
  </si>
  <si>
    <t>Brasilien: Brasilia</t>
  </si>
  <si>
    <t>Brasilien (Übriges)</t>
  </si>
  <si>
    <t>Bosnien und Herzegowina</t>
  </si>
  <si>
    <t>Australien: Sydney</t>
  </si>
  <si>
    <t>Australien: Canberra</t>
  </si>
  <si>
    <t>Australien (Übriges)</t>
  </si>
  <si>
    <t>Land</t>
  </si>
  <si>
    <t>Indien: Bangalore</t>
  </si>
  <si>
    <t>Pauschale abzgl. Kürzungen</t>
  </si>
  <si>
    <t>Eintägig</t>
  </si>
  <si>
    <t>Auszahlung Reisekosten für den Zeitraum:</t>
  </si>
  <si>
    <t>Ja</t>
  </si>
  <si>
    <t>China: Kanton</t>
  </si>
  <si>
    <t>Russische Föderation: St. Petersburg</t>
  </si>
  <si>
    <t>Reisezweck
und
Stadt</t>
  </si>
  <si>
    <t>Nordmazedonien</t>
  </si>
  <si>
    <t>São Tomé – Príncipe</t>
  </si>
  <si>
    <t xml:space="preserve">Bitte beachten Sie: </t>
  </si>
  <si>
    <t>Blaue Felder</t>
  </si>
  <si>
    <t>= Pflichtfelder</t>
  </si>
  <si>
    <t>Roter Rahmen</t>
  </si>
  <si>
    <t>Flugzeug
Schiff</t>
  </si>
  <si>
    <t>Tag der Landung bzw. Einschiffung</t>
  </si>
  <si>
    <t>Reisetag ist Teil einer … Reise</t>
  </si>
  <si>
    <t>eintägigen
mehrtägigen</t>
  </si>
  <si>
    <t>mehrtägigen</t>
  </si>
  <si>
    <t>Nicht erfasster Staat</t>
  </si>
  <si>
    <t>USA: Atlanta</t>
  </si>
  <si>
    <t>USA: Boston</t>
  </si>
  <si>
    <t>USA: Chicago</t>
  </si>
  <si>
    <t>USA: Houston</t>
  </si>
  <si>
    <t>USA: Los Angeles</t>
  </si>
  <si>
    <t>USA: Miami</t>
  </si>
  <si>
    <t>USA: New York City</t>
  </si>
  <si>
    <t>USA: San Francisco</t>
  </si>
  <si>
    <t>USA: Washington, D. C.</t>
  </si>
  <si>
    <t>USA: (Übrige)</t>
  </si>
  <si>
    <t>Flugzeug</t>
  </si>
  <si>
    <t>Schiff</t>
  </si>
  <si>
    <t>eintägigen</t>
  </si>
  <si>
    <t>Erstattungsfähige Pauchale</t>
  </si>
  <si>
    <t>Aufwendungen 
lt. Nachweis</t>
  </si>
  <si>
    <t>Verpflegung</t>
  </si>
  <si>
    <t>km
(gesamt)</t>
  </si>
  <si>
    <t xml:space="preserve">Art </t>
  </si>
  <si>
    <t>Fahrtkosten</t>
  </si>
  <si>
    <t>An diesem Tag … die Reise</t>
  </si>
  <si>
    <t>begann
endete</t>
  </si>
  <si>
    <r>
      <t>Aufenthaltsort (</t>
    </r>
    <r>
      <rPr>
        <u/>
        <sz val="9"/>
        <rFont val="Arial"/>
        <family val="2"/>
      </rPr>
      <t>vor 24:00 Uhr erreicht</t>
    </r>
    <r>
      <rPr>
        <sz val="9"/>
        <rFont val="Arial"/>
        <family val="2"/>
      </rPr>
      <t>)</t>
    </r>
  </si>
  <si>
    <t>Land
(Ort)</t>
  </si>
  <si>
    <t>Tag mit Flugzeug?</t>
  </si>
  <si>
    <r>
      <rPr>
        <b/>
        <sz val="10"/>
        <rFont val="Arial"/>
        <family val="2"/>
      </rPr>
      <t>Flugzeug</t>
    </r>
    <r>
      <rPr>
        <sz val="10"/>
        <rFont val="Arial"/>
        <family val="2"/>
      </rPr>
      <t>: Land bei Flugreisen von mehr als 2 Tagen (LStR 9.6 Abs. 3 Nr. 1)</t>
    </r>
  </si>
  <si>
    <r>
      <rPr>
        <b/>
        <sz val="10"/>
        <rFont val="Arial"/>
        <family val="2"/>
      </rPr>
      <t>Schiff</t>
    </r>
    <r>
      <rPr>
        <sz val="10"/>
        <rFont val="Arial"/>
        <family val="2"/>
      </rPr>
      <t>: Land bei Schiffsreisen von mehr als 2 Tagen (LStR 9.6 Abs. 3 Nr. 2)</t>
    </r>
  </si>
  <si>
    <t>Ermittelung Land</t>
  </si>
  <si>
    <t>Hinweis bei Landung an anderem Tag</t>
  </si>
  <si>
    <t>Tag mit Schiff?</t>
  </si>
  <si>
    <t>begann</t>
  </si>
  <si>
    <t>Hinweis bei Tag der Einschiffung</t>
  </si>
  <si>
    <t>Hinweis bei Tag der Ausschiffung</t>
  </si>
  <si>
    <t>Tag mit eintägiger Reise?</t>
  </si>
  <si>
    <t>Tag mit mehrtägiger Reise?</t>
  </si>
  <si>
    <t>24 Stunden</t>
  </si>
  <si>
    <t>An- und Abreisetag</t>
  </si>
  <si>
    <t>endete</t>
  </si>
  <si>
    <t>Mehrtägig
(ohne Flugzeug und Schiff)</t>
  </si>
  <si>
    <t>An diesem Tag erfolge eine Beförderung mit/auf …</t>
  </si>
  <si>
    <t>SVERWEIS für Pauschale</t>
  </si>
  <si>
    <t>Suchkriterium</t>
  </si>
  <si>
    <t>Spaltenindex</t>
  </si>
  <si>
    <t>Falls zuterffend</t>
  </si>
  <si>
    <t>Eingabe nach Hervorhebung</t>
  </si>
  <si>
    <t>Kürzung der Pauschale (Verpflegung)</t>
  </si>
  <si>
    <t>Kürzungs-grundlage</t>
  </si>
  <si>
    <t>Kürzungsfaktor Frühstück</t>
  </si>
  <si>
    <t>Kürzungsfaktor Abendessen</t>
  </si>
  <si>
    <t>Kürzungsfaktor Mittagessen</t>
  </si>
  <si>
    <t>Kürzungsfaktor Summe</t>
  </si>
  <si>
    <t>Ort der Übernachtung</t>
  </si>
  <si>
    <t>Mahlzeiten  gestellt oder separat abgerechnet?</t>
  </si>
  <si>
    <t>Zeitraum:</t>
  </si>
  <si>
    <t>Erstellerrolle: (Unternehmer = 1; Arbeitnehmer = 2)</t>
  </si>
  <si>
    <t>Bei AN: Erstellung für Arbeitgeber = 1; ESt-Erklärung = 2</t>
  </si>
  <si>
    <t>Alle Angaben gemacht?</t>
  </si>
  <si>
    <t>Pflichtfelder vorne</t>
  </si>
  <si>
    <t>Pflichtfelder Land</t>
  </si>
  <si>
    <t>Prüffelder/ Eingaben</t>
  </si>
  <si>
    <t>Pflichteingaben</t>
  </si>
  <si>
    <t>Bitte den Ort des Einschiffungs-Hafens angeben.</t>
  </si>
  <si>
    <t>Bitte den Ort des Ausschiffungs-Hafen angeben.</t>
  </si>
  <si>
    <t>Bitte den Ort des Abflug-Flughafens angeben.</t>
  </si>
  <si>
    <t>Arbeitnehmer</t>
  </si>
  <si>
    <t xml:space="preserve">Ansatz Erstattung: </t>
  </si>
  <si>
    <t>Meinen Arbeitgeber</t>
  </si>
  <si>
    <t>PKW</t>
  </si>
  <si>
    <t>sonst. KFZ:</t>
  </si>
  <si>
    <t>Fahrrad:</t>
  </si>
  <si>
    <r>
      <t xml:space="preserve">Kosten für 
</t>
    </r>
    <r>
      <rPr>
        <u/>
        <sz val="9"/>
        <rFont val="Arial"/>
        <family val="2"/>
      </rPr>
      <t>nicht private</t>
    </r>
    <r>
      <rPr>
        <sz val="9"/>
        <rFont val="Arial"/>
        <family val="2"/>
      </rPr>
      <t xml:space="preserve"> Beförd.mittel
und 
sonst. Kosten</t>
    </r>
  </si>
  <si>
    <t xml:space="preserve">Fahrleistung: </t>
  </si>
  <si>
    <t>nach dem gesetzlichen km-Satz von:</t>
  </si>
  <si>
    <t xml:space="preserve">Fahrtkosten                       </t>
  </si>
  <si>
    <t>PKW:</t>
  </si>
  <si>
    <r>
      <rPr>
        <b/>
        <u/>
        <sz val="9"/>
        <rFont val="Arial"/>
        <family val="2"/>
      </rPr>
      <t>Falls</t>
    </r>
    <r>
      <rPr>
        <u/>
        <sz val="9"/>
        <rFont val="Arial"/>
        <family val="2"/>
      </rPr>
      <t xml:space="preserve">  an diesem Tag </t>
    </r>
    <r>
      <rPr>
        <b/>
        <u/>
        <sz val="9"/>
        <rFont val="Arial"/>
        <family val="2"/>
      </rPr>
      <t>zutreffend</t>
    </r>
    <r>
      <rPr>
        <sz val="9"/>
        <rFont val="Arial"/>
        <family val="2"/>
      </rPr>
      <t xml:space="preserve">:
 Ort des letzten Tätigwerdens im Ausland </t>
    </r>
    <r>
      <rPr>
        <b/>
        <sz val="9"/>
        <rFont val="Arial"/>
        <family val="2"/>
      </rPr>
      <t>?</t>
    </r>
  </si>
  <si>
    <t>Max Muster</t>
  </si>
  <si>
    <t>Aquise Helsinki</t>
  </si>
  <si>
    <t>Rote Ecke</t>
  </si>
  <si>
    <t>= mit Hinweis</t>
  </si>
  <si>
    <t>= Eingabefelder</t>
  </si>
  <si>
    <r>
      <t xml:space="preserve">Bitte erfassen Sie jeden Reisetag in einer gesonderten Zeile !
Bitte befüllen Sie jede Zeile Spalte für Spalte, sofern zutreffend, </t>
    </r>
    <r>
      <rPr>
        <u/>
        <sz val="10"/>
        <color rgb="FFFF0000"/>
        <rFont val="Arial"/>
        <family val="2"/>
      </rPr>
      <t>von links nach rechts</t>
    </r>
    <r>
      <rPr>
        <sz val="10"/>
        <color rgb="FFFF0000"/>
        <rFont val="Arial"/>
        <family val="2"/>
      </rPr>
      <t>.</t>
    </r>
  </si>
  <si>
    <t>Projektbesprechung Huston</t>
  </si>
  <si>
    <t>Besprechung Austin</t>
  </si>
  <si>
    <t>Austin</t>
  </si>
  <si>
    <t>Aquise Jelenia Gora</t>
  </si>
  <si>
    <t>sonst. Kfz</t>
  </si>
  <si>
    <t>mit einem individuellen Betrag in Höhe von:</t>
  </si>
  <si>
    <t>Angaben zu den Reisetagen</t>
  </si>
  <si>
    <t>Verpflegungs-pauschale</t>
  </si>
  <si>
    <r>
      <t xml:space="preserve">Fahrleistung mit </t>
    </r>
    <r>
      <rPr>
        <u/>
        <sz val="9"/>
        <rFont val="Arial"/>
        <family val="2"/>
      </rPr>
      <t>privaten</t>
    </r>
    <r>
      <rPr>
        <sz val="9"/>
        <rFont val="Arial"/>
        <family val="2"/>
      </rPr>
      <t xml:space="preserve"> Beförderungs-mittelen</t>
    </r>
  </si>
  <si>
    <t>Ich erstelle diese Abrechnung für:</t>
  </si>
  <si>
    <t>Ich bin:</t>
  </si>
  <si>
    <t>Meeting Niederlassung Usti nad Labem</t>
  </si>
  <si>
    <t>in Höhe der gesetzlichen Pauschalen</t>
  </si>
  <si>
    <t>Summen</t>
  </si>
  <si>
    <t>1. Quartal</t>
  </si>
  <si>
    <t xml:space="preserve">gesetzlicher Satz: </t>
  </si>
  <si>
    <t>Frankreich: Paris, sowie Departments 77, 78, 91 - 95</t>
  </si>
  <si>
    <t>Indien: Chennai</t>
  </si>
  <si>
    <t>Indien: Kalkutta</t>
  </si>
  <si>
    <t>Indien: Mumbai</t>
  </si>
  <si>
    <t>Vatikanstaat</t>
  </si>
  <si>
    <t>Schiff - Einschiffung</t>
  </si>
  <si>
    <t>Schiff - Ausschiffung</t>
  </si>
  <si>
    <t>Anwendungsfall</t>
  </si>
  <si>
    <t>Hinweise</t>
  </si>
  <si>
    <t>Text</t>
  </si>
  <si>
    <t>Reisedauer</t>
  </si>
  <si>
    <t>von</t>
  </si>
  <si>
    <t>bis</t>
  </si>
  <si>
    <t>Dauer</t>
  </si>
  <si>
    <t>Reise-tag</t>
  </si>
  <si>
    <t>Uhrzeit</t>
  </si>
  <si>
    <t>Vorauss. Nicht erfüllt</t>
  </si>
  <si>
    <t>Uhrzeitformat prüfen. Stunden und Minuten mit -&gt; : &lt;- trennen.</t>
  </si>
  <si>
    <t>Hinweis bei Fehler Uhrzeitformat</t>
  </si>
  <si>
    <t>Tag des Abflugs bzw. der Aus-schiffung</t>
  </si>
  <si>
    <t xml:space="preserve">Zurück 
</t>
  </si>
  <si>
    <t>Aufgrund der Komplexität des Reisekostenrechts können mit dieser Arbeitshilfe nicht alle Sachverhalte abgebildet werden. Dies betriftt insbesondere:</t>
  </si>
  <si>
    <t>Bitte beachten Sie 
auch die Hinweise.</t>
  </si>
  <si>
    <t>private Beförderungsmittel</t>
  </si>
  <si>
    <t>nicht private Beförderungsmittel und sonst. Kosten</t>
  </si>
  <si>
    <r>
      <t xml:space="preserve">Beispielabrechnung 
und Hinweise
</t>
    </r>
    <r>
      <rPr>
        <b/>
        <sz val="10"/>
        <color rgb="FFFF0000"/>
        <rFont val="Arial"/>
        <family val="2"/>
      </rPr>
      <t>(bitte klicken)</t>
    </r>
  </si>
  <si>
    <t xml:space="preserve"> - </t>
  </si>
  <si>
    <t xml:space="preserve">Reisen ohne Übernachtung mit einer Reisedauer von mehr als 8 Stunden, die an einem Kalendertag beginnen und erst am folgenden Kalendertag enden. </t>
  </si>
  <si>
    <t>Reisekostenabrechnung (Ausland) 2025</t>
  </si>
  <si>
    <t>Bhutan</t>
  </si>
  <si>
    <t>Brunei</t>
  </si>
  <si>
    <t>Erfassungshilfe Datenaktualisierung</t>
  </si>
  <si>
    <t>Werte BMF-Schreiben</t>
  </si>
  <si>
    <r>
      <rPr>
        <sz val="11"/>
        <rFont val="Arial"/>
        <family val="2"/>
      </rPr>
      <t>Afghanistan</t>
    </r>
  </si>
  <si>
    <r>
      <rPr>
        <sz val="11"/>
        <rFont val="Arial"/>
        <family val="2"/>
      </rPr>
      <t>Ägypten</t>
    </r>
  </si>
  <si>
    <r>
      <rPr>
        <sz val="11"/>
        <rFont val="Arial"/>
        <family val="2"/>
      </rPr>
      <t>Äthiopien</t>
    </r>
  </si>
  <si>
    <r>
      <rPr>
        <sz val="11"/>
        <rFont val="Arial"/>
        <family val="2"/>
      </rPr>
      <t>Äquatorialguinea</t>
    </r>
  </si>
  <si>
    <r>
      <rPr>
        <sz val="11"/>
        <rFont val="Arial"/>
        <family val="2"/>
      </rPr>
      <t>Albanien</t>
    </r>
  </si>
  <si>
    <r>
      <rPr>
        <sz val="11"/>
        <rFont val="Arial"/>
        <family val="2"/>
      </rPr>
      <t>Algerien</t>
    </r>
  </si>
  <si>
    <r>
      <rPr>
        <sz val="11"/>
        <rFont val="Arial"/>
        <family val="2"/>
      </rPr>
      <t>Andorra</t>
    </r>
  </si>
  <si>
    <r>
      <rPr>
        <sz val="11"/>
        <rFont val="Arial"/>
        <family val="2"/>
      </rPr>
      <t>Angola</t>
    </r>
  </si>
  <si>
    <r>
      <rPr>
        <sz val="11"/>
        <rFont val="Arial"/>
        <family val="2"/>
      </rPr>
      <t>Argentinien</t>
    </r>
  </si>
  <si>
    <r>
      <rPr>
        <sz val="11"/>
        <rFont val="Arial"/>
        <family val="2"/>
      </rPr>
      <t>Armenien</t>
    </r>
  </si>
  <si>
    <r>
      <rPr>
        <sz val="11"/>
        <rFont val="Arial"/>
        <family val="2"/>
      </rPr>
      <t>Aserbaidschan</t>
    </r>
  </si>
  <si>
    <r>
      <rPr>
        <sz val="11"/>
        <rFont val="Arial"/>
        <family val="2"/>
      </rPr>
      <t>–        Canberra</t>
    </r>
  </si>
  <si>
    <r>
      <rPr>
        <sz val="11"/>
        <rFont val="Arial"/>
        <family val="2"/>
      </rPr>
      <t>–        Sydney</t>
    </r>
  </si>
  <si>
    <r>
      <rPr>
        <sz val="11"/>
        <rFont val="Arial"/>
        <family val="2"/>
      </rPr>
      <t>–        im Übrigen</t>
    </r>
  </si>
  <si>
    <r>
      <rPr>
        <sz val="11"/>
        <rFont val="Arial"/>
        <family val="2"/>
      </rPr>
      <t>Bahrain</t>
    </r>
  </si>
  <si>
    <r>
      <rPr>
        <sz val="11"/>
        <rFont val="Arial"/>
        <family val="2"/>
      </rPr>
      <t>Bangladesch</t>
    </r>
  </si>
  <si>
    <r>
      <rPr>
        <sz val="11"/>
        <rFont val="Arial"/>
        <family val="2"/>
      </rPr>
      <t>Barbados</t>
    </r>
  </si>
  <si>
    <r>
      <rPr>
        <sz val="11"/>
        <rFont val="Arial"/>
        <family val="2"/>
      </rPr>
      <t>Belgien</t>
    </r>
  </si>
  <si>
    <r>
      <rPr>
        <sz val="11"/>
        <rFont val="Arial"/>
        <family val="2"/>
      </rPr>
      <t>Benin</t>
    </r>
  </si>
  <si>
    <r>
      <rPr>
        <b/>
        <sz val="11"/>
        <rFont val="Arial"/>
        <family val="2"/>
      </rPr>
      <t>Bhutan</t>
    </r>
  </si>
  <si>
    <r>
      <rPr>
        <sz val="11"/>
        <rFont val="Arial"/>
        <family val="2"/>
      </rPr>
      <t>Bolivien</t>
    </r>
  </si>
  <si>
    <r>
      <rPr>
        <sz val="11"/>
        <rFont val="Arial"/>
        <family val="2"/>
      </rPr>
      <t>Bosnien und Herzegowina</t>
    </r>
  </si>
  <si>
    <r>
      <rPr>
        <sz val="11"/>
        <rFont val="Arial"/>
        <family val="2"/>
      </rPr>
      <t>Botsuana</t>
    </r>
  </si>
  <si>
    <r>
      <rPr>
        <sz val="11"/>
        <rFont val="Arial"/>
        <family val="2"/>
      </rPr>
      <t>–        Brasilia</t>
    </r>
  </si>
  <si>
    <r>
      <rPr>
        <sz val="11"/>
        <rFont val="Arial"/>
        <family val="2"/>
      </rPr>
      <t>–        Rio de Janeiro</t>
    </r>
  </si>
  <si>
    <r>
      <rPr>
        <sz val="11"/>
        <rFont val="Arial"/>
        <family val="2"/>
      </rPr>
      <t>–        Sao Paulo</t>
    </r>
  </si>
  <si>
    <r>
      <rPr>
        <sz val="11"/>
        <rFont val="Arial"/>
        <family val="2"/>
      </rPr>
      <t>Brunei</t>
    </r>
  </si>
  <si>
    <r>
      <rPr>
        <sz val="11"/>
        <rFont val="Arial"/>
        <family val="2"/>
      </rPr>
      <t>Bulgarien</t>
    </r>
  </si>
  <si>
    <r>
      <rPr>
        <sz val="11"/>
        <rFont val="Arial"/>
        <family val="2"/>
      </rPr>
      <t>Burkina Faso</t>
    </r>
  </si>
  <si>
    <r>
      <rPr>
        <sz val="11"/>
        <rFont val="Arial"/>
        <family val="2"/>
      </rPr>
      <t>Burundi</t>
    </r>
  </si>
  <si>
    <r>
      <rPr>
        <sz val="11"/>
        <rFont val="Arial"/>
        <family val="2"/>
      </rPr>
      <t>Chile</t>
    </r>
  </si>
  <si>
    <r>
      <rPr>
        <sz val="11"/>
        <rFont val="Arial"/>
        <family val="2"/>
      </rPr>
      <t>–        Chengdu</t>
    </r>
  </si>
  <si>
    <r>
      <rPr>
        <sz val="11"/>
        <rFont val="Arial"/>
        <family val="2"/>
      </rPr>
      <t>–        Hongkong</t>
    </r>
  </si>
  <si>
    <r>
      <rPr>
        <sz val="11"/>
        <rFont val="Arial"/>
        <family val="2"/>
      </rPr>
      <t>–        Kanton</t>
    </r>
  </si>
  <si>
    <r>
      <rPr>
        <sz val="11"/>
        <rFont val="Arial"/>
        <family val="2"/>
      </rPr>
      <t>–        Peking</t>
    </r>
  </si>
  <si>
    <r>
      <rPr>
        <sz val="11"/>
        <rFont val="Arial"/>
        <family val="2"/>
      </rPr>
      <t>–        Shanghai</t>
    </r>
  </si>
  <si>
    <r>
      <rPr>
        <sz val="11"/>
        <rFont val="Arial"/>
        <family val="2"/>
      </rPr>
      <t>Costa Rica</t>
    </r>
  </si>
  <si>
    <r>
      <rPr>
        <sz val="11"/>
        <rFont val="Arial"/>
        <family val="2"/>
      </rPr>
      <t>Côte d’Ivoire</t>
    </r>
  </si>
  <si>
    <r>
      <rPr>
        <sz val="11"/>
        <rFont val="Arial"/>
        <family val="2"/>
      </rPr>
      <t>Dänemark</t>
    </r>
  </si>
  <si>
    <r>
      <rPr>
        <sz val="11"/>
        <rFont val="Arial"/>
        <family val="2"/>
      </rPr>
      <t>Dominikanische Republik</t>
    </r>
  </si>
  <si>
    <r>
      <rPr>
        <sz val="11"/>
        <rFont val="Arial"/>
        <family val="2"/>
      </rPr>
      <t>Dschibuti</t>
    </r>
  </si>
  <si>
    <r>
      <rPr>
        <sz val="11"/>
        <rFont val="Arial"/>
        <family val="2"/>
      </rPr>
      <t>Ecuador</t>
    </r>
  </si>
  <si>
    <r>
      <rPr>
        <sz val="11"/>
        <rFont val="Arial"/>
        <family val="2"/>
      </rPr>
      <t>El Salvador</t>
    </r>
  </si>
  <si>
    <r>
      <rPr>
        <sz val="11"/>
        <rFont val="Arial"/>
        <family val="2"/>
      </rPr>
      <t>Eritrea</t>
    </r>
  </si>
  <si>
    <r>
      <rPr>
        <sz val="11"/>
        <rFont val="Arial"/>
        <family val="2"/>
      </rPr>
      <t>Estland</t>
    </r>
  </si>
  <si>
    <r>
      <rPr>
        <sz val="11"/>
        <rFont val="Arial"/>
        <family val="2"/>
      </rPr>
      <t>Fidschi</t>
    </r>
  </si>
  <si>
    <r>
      <rPr>
        <sz val="11"/>
        <rFont val="Arial"/>
        <family val="2"/>
      </rPr>
      <t>Finnland</t>
    </r>
  </si>
  <si>
    <r>
      <rPr>
        <sz val="11"/>
        <rFont val="Arial"/>
        <family val="2"/>
      </rPr>
      <t>Frankreich</t>
    </r>
  </si>
  <si>
    <r>
      <rPr>
        <sz val="11"/>
        <rFont val="Arial"/>
        <family val="2"/>
      </rPr>
      <t xml:space="preserve">–        Paris sowie die
</t>
    </r>
    <r>
      <rPr>
        <sz val="11"/>
        <rFont val="Arial"/>
        <family val="2"/>
      </rPr>
      <t>Departments 77, 78, 91 bis 95</t>
    </r>
  </si>
  <si>
    <r>
      <rPr>
        <sz val="11"/>
        <rFont val="Arial"/>
        <family val="2"/>
      </rPr>
      <t>Gabun</t>
    </r>
  </si>
  <si>
    <r>
      <rPr>
        <sz val="11"/>
        <rFont val="Arial"/>
        <family val="2"/>
      </rPr>
      <t>Gambia</t>
    </r>
  </si>
  <si>
    <r>
      <rPr>
        <sz val="11"/>
        <rFont val="Arial"/>
        <family val="2"/>
      </rPr>
      <t>Georgien</t>
    </r>
  </si>
  <si>
    <r>
      <rPr>
        <sz val="11"/>
        <rFont val="Arial"/>
        <family val="2"/>
      </rPr>
      <t>Ghana</t>
    </r>
  </si>
  <si>
    <r>
      <rPr>
        <sz val="11"/>
        <rFont val="Arial"/>
        <family val="2"/>
      </rPr>
      <t>Griechenland</t>
    </r>
  </si>
  <si>
    <r>
      <rPr>
        <sz val="11"/>
        <rFont val="Arial"/>
        <family val="2"/>
      </rPr>
      <t>–        Athen</t>
    </r>
  </si>
  <si>
    <r>
      <rPr>
        <sz val="11"/>
        <rFont val="Arial"/>
        <family val="2"/>
      </rPr>
      <t>Guatemala</t>
    </r>
  </si>
  <si>
    <r>
      <rPr>
        <sz val="11"/>
        <rFont val="Arial"/>
        <family val="2"/>
      </rPr>
      <t>Guinea</t>
    </r>
  </si>
  <si>
    <r>
      <rPr>
        <sz val="11"/>
        <rFont val="Arial"/>
        <family val="2"/>
      </rPr>
      <t>Guinea-Bissau</t>
    </r>
  </si>
  <si>
    <r>
      <rPr>
        <sz val="11"/>
        <rFont val="Arial"/>
        <family val="2"/>
      </rPr>
      <t>Haiti</t>
    </r>
  </si>
  <si>
    <r>
      <rPr>
        <sz val="11"/>
        <rFont val="Arial"/>
        <family val="2"/>
      </rPr>
      <t>Honduras</t>
    </r>
  </si>
  <si>
    <r>
      <rPr>
        <sz val="11"/>
        <rFont val="Arial"/>
        <family val="2"/>
      </rPr>
      <t>Indien</t>
    </r>
  </si>
  <si>
    <r>
      <rPr>
        <b/>
        <sz val="11"/>
        <rFont val="Arial"/>
        <family val="2"/>
      </rPr>
      <t>–        Bangalore</t>
    </r>
  </si>
  <si>
    <r>
      <rPr>
        <sz val="11"/>
        <rFont val="Arial"/>
        <family val="2"/>
      </rPr>
      <t>–        Chennai</t>
    </r>
  </si>
  <si>
    <r>
      <rPr>
        <sz val="11"/>
        <rFont val="Arial"/>
        <family val="2"/>
      </rPr>
      <t>–        Kalkutta</t>
    </r>
  </si>
  <si>
    <r>
      <rPr>
        <sz val="11"/>
        <rFont val="Arial"/>
        <family val="2"/>
      </rPr>
      <t>–        Mumbai</t>
    </r>
  </si>
  <si>
    <r>
      <rPr>
        <sz val="11"/>
        <rFont val="Arial"/>
        <family val="2"/>
      </rPr>
      <t>–        Neu Delhi</t>
    </r>
  </si>
  <si>
    <r>
      <rPr>
        <sz val="11"/>
        <rFont val="Arial"/>
        <family val="2"/>
      </rPr>
      <t>Indonesien</t>
    </r>
  </si>
  <si>
    <r>
      <rPr>
        <sz val="11"/>
        <rFont val="Arial"/>
        <family val="2"/>
      </rPr>
      <t>Iran</t>
    </r>
  </si>
  <si>
    <r>
      <rPr>
        <sz val="11"/>
        <rFont val="Arial"/>
        <family val="2"/>
      </rPr>
      <t>Irland</t>
    </r>
  </si>
  <si>
    <r>
      <rPr>
        <sz val="11"/>
        <rFont val="Arial"/>
        <family val="2"/>
      </rPr>
      <t>Island</t>
    </r>
  </si>
  <si>
    <r>
      <rPr>
        <sz val="11"/>
        <rFont val="Arial"/>
        <family val="2"/>
      </rPr>
      <t>Israel</t>
    </r>
  </si>
  <si>
    <r>
      <rPr>
        <sz val="11"/>
        <rFont val="Arial"/>
        <family val="2"/>
      </rPr>
      <t>Italien</t>
    </r>
  </si>
  <si>
    <r>
      <rPr>
        <sz val="11"/>
        <rFont val="Arial"/>
        <family val="2"/>
      </rPr>
      <t>–        Mailand</t>
    </r>
  </si>
  <si>
    <r>
      <rPr>
        <sz val="11"/>
        <rFont val="Arial"/>
        <family val="2"/>
      </rPr>
      <t>–        Rom</t>
    </r>
  </si>
  <si>
    <r>
      <rPr>
        <sz val="11"/>
        <rFont val="Arial"/>
        <family val="2"/>
      </rPr>
      <t>Jamaika</t>
    </r>
  </si>
  <si>
    <r>
      <rPr>
        <sz val="11"/>
        <rFont val="Arial"/>
        <family val="2"/>
      </rPr>
      <t>Japan</t>
    </r>
  </si>
  <si>
    <r>
      <rPr>
        <sz val="11"/>
        <rFont val="Arial"/>
        <family val="2"/>
      </rPr>
      <t>–        Tokio</t>
    </r>
  </si>
  <si>
    <r>
      <rPr>
        <b/>
        <sz val="11"/>
        <rFont val="Arial"/>
        <family val="2"/>
      </rPr>
      <t>–        Osaka</t>
    </r>
  </si>
  <si>
    <r>
      <rPr>
        <sz val="11"/>
        <rFont val="Arial"/>
        <family val="2"/>
      </rPr>
      <t>Jemen</t>
    </r>
  </si>
  <si>
    <r>
      <rPr>
        <sz val="11"/>
        <rFont val="Arial"/>
        <family val="2"/>
      </rPr>
      <t>Jordanien</t>
    </r>
  </si>
  <si>
    <r>
      <rPr>
        <sz val="11"/>
        <rFont val="Arial"/>
        <family val="2"/>
      </rPr>
      <t>Kambodscha</t>
    </r>
  </si>
  <si>
    <r>
      <rPr>
        <sz val="11"/>
        <rFont val="Arial"/>
        <family val="2"/>
      </rPr>
      <t>Kamerun</t>
    </r>
  </si>
  <si>
    <r>
      <rPr>
        <sz val="11"/>
        <rFont val="Arial"/>
        <family val="2"/>
      </rPr>
      <t>Kanada</t>
    </r>
  </si>
  <si>
    <r>
      <rPr>
        <sz val="11"/>
        <rFont val="Arial"/>
        <family val="2"/>
      </rPr>
      <t>–        Ottawa</t>
    </r>
  </si>
  <si>
    <r>
      <rPr>
        <sz val="11"/>
        <rFont val="Arial"/>
        <family val="2"/>
      </rPr>
      <t>–        Toronto</t>
    </r>
  </si>
  <si>
    <r>
      <rPr>
        <sz val="11"/>
        <rFont val="Arial"/>
        <family val="2"/>
      </rPr>
      <t>–        Vancouver</t>
    </r>
  </si>
  <si>
    <r>
      <rPr>
        <sz val="11"/>
        <rFont val="Arial"/>
        <family val="2"/>
      </rPr>
      <t>Kap Verde</t>
    </r>
  </si>
  <si>
    <r>
      <rPr>
        <sz val="11"/>
        <rFont val="Arial"/>
        <family val="2"/>
      </rPr>
      <t>Kasachstan</t>
    </r>
  </si>
  <si>
    <r>
      <rPr>
        <sz val="11"/>
        <rFont val="Arial"/>
        <family val="2"/>
      </rPr>
      <t>Katar</t>
    </r>
  </si>
  <si>
    <r>
      <rPr>
        <sz val="11"/>
        <rFont val="Arial"/>
        <family val="2"/>
      </rPr>
      <t>Kenia</t>
    </r>
  </si>
  <si>
    <r>
      <rPr>
        <sz val="11"/>
        <rFont val="Arial"/>
        <family val="2"/>
      </rPr>
      <t>Kirgisistan</t>
    </r>
  </si>
  <si>
    <r>
      <rPr>
        <sz val="11"/>
        <rFont val="Arial"/>
        <family val="2"/>
      </rPr>
      <t>Kolumbien</t>
    </r>
  </si>
  <si>
    <r>
      <rPr>
        <sz val="11"/>
        <rFont val="Arial"/>
        <family val="2"/>
      </rPr>
      <t>Kongo, Republik</t>
    </r>
  </si>
  <si>
    <r>
      <rPr>
        <sz val="11"/>
        <rFont val="Arial"/>
        <family val="2"/>
      </rPr>
      <t>Kongo, Demokratische Republik</t>
    </r>
  </si>
  <si>
    <r>
      <rPr>
        <sz val="11"/>
        <rFont val="Arial"/>
        <family val="2"/>
      </rPr>
      <t xml:space="preserve">Korea, Demokratische
</t>
    </r>
    <r>
      <rPr>
        <sz val="11"/>
        <rFont val="Arial"/>
        <family val="2"/>
      </rPr>
      <t>Volksrepublik</t>
    </r>
  </si>
  <si>
    <r>
      <rPr>
        <sz val="11"/>
        <rFont val="Arial"/>
        <family val="2"/>
      </rPr>
      <t>Korea, Republik</t>
    </r>
  </si>
  <si>
    <r>
      <rPr>
        <sz val="11"/>
        <rFont val="Arial"/>
        <family val="2"/>
      </rPr>
      <t>Kosovo</t>
    </r>
  </si>
  <si>
    <r>
      <rPr>
        <sz val="11"/>
        <rFont val="Arial"/>
        <family val="2"/>
      </rPr>
      <t>Kroatien</t>
    </r>
  </si>
  <si>
    <r>
      <rPr>
        <sz val="11"/>
        <rFont val="Arial"/>
        <family val="2"/>
      </rPr>
      <t>Kuba</t>
    </r>
  </si>
  <si>
    <r>
      <rPr>
        <sz val="11"/>
        <rFont val="Arial"/>
        <family val="2"/>
      </rPr>
      <t>Kuwait</t>
    </r>
  </si>
  <si>
    <r>
      <rPr>
        <sz val="11"/>
        <rFont val="Arial"/>
        <family val="2"/>
      </rPr>
      <t>Laos</t>
    </r>
  </si>
  <si>
    <r>
      <rPr>
        <sz val="11"/>
        <rFont val="Arial"/>
        <family val="2"/>
      </rPr>
      <t>Lesotho</t>
    </r>
  </si>
  <si>
    <r>
      <rPr>
        <sz val="11"/>
        <rFont val="Arial"/>
        <family val="2"/>
      </rPr>
      <t>Lettland</t>
    </r>
  </si>
  <si>
    <r>
      <rPr>
        <sz val="11"/>
        <rFont val="Arial"/>
        <family val="2"/>
      </rPr>
      <t>Libyen</t>
    </r>
  </si>
  <si>
    <r>
      <rPr>
        <sz val="11"/>
        <rFont val="Arial"/>
        <family val="2"/>
      </rPr>
      <t>Libanon</t>
    </r>
  </si>
  <si>
    <r>
      <rPr>
        <b/>
        <sz val="11"/>
        <rFont val="Arial"/>
        <family val="2"/>
      </rPr>
      <t>Liberia</t>
    </r>
  </si>
  <si>
    <r>
      <rPr>
        <sz val="11"/>
        <rFont val="Arial"/>
        <family val="2"/>
      </rPr>
      <t>Liechtenstein</t>
    </r>
  </si>
  <si>
    <r>
      <rPr>
        <sz val="11"/>
        <rFont val="Arial"/>
        <family val="2"/>
      </rPr>
      <t>Litauen</t>
    </r>
  </si>
  <si>
    <r>
      <rPr>
        <sz val="11"/>
        <rFont val="Arial"/>
        <family val="2"/>
      </rPr>
      <t>Luxemburg</t>
    </r>
  </si>
  <si>
    <r>
      <rPr>
        <sz val="11"/>
        <rFont val="Arial"/>
        <family val="2"/>
      </rPr>
      <t>Madagaskar</t>
    </r>
  </si>
  <si>
    <r>
      <rPr>
        <sz val="11"/>
        <rFont val="Arial"/>
        <family val="2"/>
      </rPr>
      <t>Malawi</t>
    </r>
  </si>
  <si>
    <r>
      <rPr>
        <sz val="11"/>
        <rFont val="Arial"/>
        <family val="2"/>
      </rPr>
      <t>Malaysia</t>
    </r>
  </si>
  <si>
    <r>
      <rPr>
        <sz val="11"/>
        <rFont val="Arial"/>
        <family val="2"/>
      </rPr>
      <t>Malediven</t>
    </r>
  </si>
  <si>
    <r>
      <rPr>
        <sz val="11"/>
        <rFont val="Arial"/>
        <family val="2"/>
      </rPr>
      <t>Mali</t>
    </r>
  </si>
  <si>
    <r>
      <rPr>
        <sz val="11"/>
        <rFont val="Arial"/>
        <family val="2"/>
      </rPr>
      <t>Malta</t>
    </r>
  </si>
  <si>
    <r>
      <rPr>
        <sz val="11"/>
        <rFont val="Arial"/>
        <family val="2"/>
      </rPr>
      <t>Marokko</t>
    </r>
  </si>
  <si>
    <r>
      <rPr>
        <sz val="11"/>
        <rFont val="Arial"/>
        <family val="2"/>
      </rPr>
      <t>Marshall Inseln</t>
    </r>
  </si>
  <si>
    <r>
      <rPr>
        <sz val="11"/>
        <rFont val="Arial"/>
        <family val="2"/>
      </rPr>
      <t>Mauretanien</t>
    </r>
  </si>
  <si>
    <r>
      <rPr>
        <sz val="11"/>
        <rFont val="Arial"/>
        <family val="2"/>
      </rPr>
      <t>Mauritius</t>
    </r>
  </si>
  <si>
    <r>
      <rPr>
        <sz val="11"/>
        <rFont val="Arial"/>
        <family val="2"/>
      </rPr>
      <t>Mexiko</t>
    </r>
  </si>
  <si>
    <r>
      <rPr>
        <sz val="11"/>
        <rFont val="Arial"/>
        <family val="2"/>
      </rPr>
      <t>Moldau, Republik</t>
    </r>
  </si>
  <si>
    <r>
      <rPr>
        <sz val="11"/>
        <rFont val="Arial"/>
        <family val="2"/>
      </rPr>
      <t>Monaco</t>
    </r>
  </si>
  <si>
    <r>
      <rPr>
        <sz val="11"/>
        <rFont val="Arial"/>
        <family val="2"/>
      </rPr>
      <t>Mongolei</t>
    </r>
  </si>
  <si>
    <r>
      <rPr>
        <sz val="11"/>
        <rFont val="Arial"/>
        <family val="2"/>
      </rPr>
      <t>Montenegro</t>
    </r>
  </si>
  <si>
    <r>
      <rPr>
        <sz val="11"/>
        <rFont val="Arial"/>
        <family val="2"/>
      </rPr>
      <t>Mosambik</t>
    </r>
  </si>
  <si>
    <r>
      <rPr>
        <sz val="11"/>
        <rFont val="Arial"/>
        <family val="2"/>
      </rPr>
      <t>Myanmar</t>
    </r>
  </si>
  <si>
    <r>
      <rPr>
        <sz val="11"/>
        <rFont val="Arial"/>
        <family val="2"/>
      </rPr>
      <t>Namibia</t>
    </r>
  </si>
  <si>
    <r>
      <rPr>
        <sz val="11"/>
        <rFont val="Arial"/>
        <family val="2"/>
      </rPr>
      <t>Nepal</t>
    </r>
  </si>
  <si>
    <r>
      <rPr>
        <sz val="11"/>
        <rFont val="Arial"/>
        <family val="2"/>
      </rPr>
      <t>Neuseeland</t>
    </r>
  </si>
  <si>
    <r>
      <rPr>
        <sz val="11"/>
        <rFont val="Arial"/>
        <family val="2"/>
      </rPr>
      <t>Nicaragua</t>
    </r>
  </si>
  <si>
    <r>
      <rPr>
        <sz val="11"/>
        <rFont val="Arial"/>
        <family val="2"/>
      </rPr>
      <t>Niederlande</t>
    </r>
  </si>
  <si>
    <r>
      <rPr>
        <sz val="11"/>
        <rFont val="Arial"/>
        <family val="2"/>
      </rPr>
      <t>Niger</t>
    </r>
  </si>
  <si>
    <r>
      <rPr>
        <sz val="11"/>
        <rFont val="Arial"/>
        <family val="2"/>
      </rPr>
      <t>Nigeria</t>
    </r>
  </si>
  <si>
    <r>
      <rPr>
        <sz val="11"/>
        <rFont val="Arial"/>
        <family val="2"/>
      </rPr>
      <t>Nordmazedonien</t>
    </r>
  </si>
  <si>
    <r>
      <rPr>
        <sz val="11"/>
        <rFont val="Arial"/>
        <family val="2"/>
      </rPr>
      <t>Norwegen</t>
    </r>
  </si>
  <si>
    <r>
      <rPr>
        <sz val="11"/>
        <rFont val="Arial"/>
        <family val="2"/>
      </rPr>
      <t>Österreich</t>
    </r>
  </si>
  <si>
    <r>
      <rPr>
        <sz val="11"/>
        <rFont val="Arial"/>
        <family val="2"/>
      </rPr>
      <t>Oman</t>
    </r>
  </si>
  <si>
    <r>
      <rPr>
        <sz val="11"/>
        <rFont val="Arial"/>
        <family val="2"/>
      </rPr>
      <t>Pakistan</t>
    </r>
  </si>
  <si>
    <r>
      <rPr>
        <sz val="11"/>
        <rFont val="Arial"/>
        <family val="2"/>
      </rPr>
      <t>–        Islamabad</t>
    </r>
  </si>
  <si>
    <r>
      <rPr>
        <sz val="11"/>
        <rFont val="Arial"/>
        <family val="2"/>
      </rPr>
      <t>Palau</t>
    </r>
  </si>
  <si>
    <r>
      <rPr>
        <sz val="11"/>
        <rFont val="Arial"/>
        <family val="2"/>
      </rPr>
      <t>Panama</t>
    </r>
  </si>
  <si>
    <r>
      <rPr>
        <sz val="11"/>
        <rFont val="Arial"/>
        <family val="2"/>
      </rPr>
      <t>Papua-Neuguinea</t>
    </r>
  </si>
  <si>
    <r>
      <rPr>
        <sz val="11"/>
        <rFont val="Arial"/>
        <family val="2"/>
      </rPr>
      <t>Paraguay</t>
    </r>
  </si>
  <si>
    <r>
      <rPr>
        <sz val="11"/>
        <rFont val="Arial"/>
        <family val="2"/>
      </rPr>
      <t>Peru</t>
    </r>
  </si>
  <si>
    <r>
      <rPr>
        <sz val="11"/>
        <rFont val="Arial"/>
        <family val="2"/>
      </rPr>
      <t>Philippinen</t>
    </r>
  </si>
  <si>
    <r>
      <rPr>
        <sz val="11"/>
        <rFont val="Arial"/>
        <family val="2"/>
      </rPr>
      <t>Polen</t>
    </r>
  </si>
  <si>
    <r>
      <rPr>
        <sz val="11"/>
        <rFont val="Arial"/>
        <family val="2"/>
      </rPr>
      <t>–        Breslau</t>
    </r>
  </si>
  <si>
    <r>
      <rPr>
        <sz val="11"/>
        <rFont val="Arial"/>
        <family val="2"/>
      </rPr>
      <t>–        Warschau</t>
    </r>
  </si>
  <si>
    <r>
      <rPr>
        <sz val="11"/>
        <rFont val="Arial"/>
        <family val="2"/>
      </rPr>
      <t>Portugal</t>
    </r>
  </si>
  <si>
    <r>
      <rPr>
        <sz val="11"/>
        <rFont val="Arial"/>
        <family val="2"/>
      </rPr>
      <t>Ruanda</t>
    </r>
  </si>
  <si>
    <r>
      <rPr>
        <sz val="11"/>
        <rFont val="Arial"/>
        <family val="2"/>
      </rPr>
      <t>Rumänien</t>
    </r>
  </si>
  <si>
    <r>
      <rPr>
        <sz val="11"/>
        <rFont val="Arial"/>
        <family val="2"/>
      </rPr>
      <t>–        Bukarest</t>
    </r>
  </si>
  <si>
    <r>
      <rPr>
        <sz val="11"/>
        <rFont val="Arial"/>
        <family val="2"/>
      </rPr>
      <t>Russische Föderation</t>
    </r>
  </si>
  <si>
    <r>
      <rPr>
        <sz val="11"/>
        <rFont val="Arial"/>
        <family val="2"/>
      </rPr>
      <t>–        Moskau</t>
    </r>
  </si>
  <si>
    <r>
      <rPr>
        <sz val="11"/>
        <rFont val="Arial"/>
        <family val="2"/>
      </rPr>
      <t>–        St. Petersburg</t>
    </r>
  </si>
  <si>
    <r>
      <rPr>
        <sz val="11"/>
        <rFont val="Arial"/>
        <family val="2"/>
      </rPr>
      <t>Sambia</t>
    </r>
  </si>
  <si>
    <r>
      <rPr>
        <sz val="11"/>
        <rFont val="Arial"/>
        <family val="2"/>
      </rPr>
      <t>Samoa</t>
    </r>
  </si>
  <si>
    <r>
      <rPr>
        <sz val="11"/>
        <rFont val="Arial"/>
        <family val="2"/>
      </rPr>
      <t>San Marino</t>
    </r>
  </si>
  <si>
    <r>
      <rPr>
        <sz val="11"/>
        <rFont val="Arial"/>
        <family val="2"/>
      </rPr>
      <t>São Tomé – Príncipe</t>
    </r>
  </si>
  <si>
    <r>
      <rPr>
        <sz val="11"/>
        <rFont val="Arial"/>
        <family val="2"/>
      </rPr>
      <t>Saudi-Arabien</t>
    </r>
  </si>
  <si>
    <r>
      <rPr>
        <sz val="11"/>
        <rFont val="Arial"/>
        <family val="2"/>
      </rPr>
      <t>–        Djidda</t>
    </r>
  </si>
  <si>
    <r>
      <rPr>
        <sz val="11"/>
        <rFont val="Arial"/>
        <family val="2"/>
      </rPr>
      <t>–        Riad</t>
    </r>
  </si>
  <si>
    <r>
      <rPr>
        <sz val="11"/>
        <rFont val="Arial"/>
        <family val="2"/>
      </rPr>
      <t>Schweden</t>
    </r>
  </si>
  <si>
    <r>
      <rPr>
        <sz val="11"/>
        <rFont val="Arial"/>
        <family val="2"/>
      </rPr>
      <t>Schweiz</t>
    </r>
  </si>
  <si>
    <r>
      <rPr>
        <sz val="11"/>
        <rFont val="Arial"/>
        <family val="2"/>
      </rPr>
      <t>–        Genf</t>
    </r>
  </si>
  <si>
    <r>
      <rPr>
        <sz val="11"/>
        <rFont val="Arial"/>
        <family val="2"/>
      </rPr>
      <t>Senegal</t>
    </r>
  </si>
  <si>
    <r>
      <rPr>
        <sz val="11"/>
        <rFont val="Arial"/>
        <family val="2"/>
      </rPr>
      <t>Serbien</t>
    </r>
  </si>
  <si>
    <r>
      <rPr>
        <sz val="11"/>
        <rFont val="Arial"/>
        <family val="2"/>
      </rPr>
      <t>Sierra Leone</t>
    </r>
  </si>
  <si>
    <r>
      <rPr>
        <sz val="11"/>
        <rFont val="Arial"/>
        <family val="2"/>
      </rPr>
      <t>Simbabwe</t>
    </r>
  </si>
  <si>
    <r>
      <rPr>
        <sz val="11"/>
        <rFont val="Arial"/>
        <family val="2"/>
      </rPr>
      <t>Singapur</t>
    </r>
  </si>
  <si>
    <r>
      <rPr>
        <sz val="11"/>
        <rFont val="Arial"/>
        <family val="2"/>
      </rPr>
      <t>Slowakische Republik</t>
    </r>
  </si>
  <si>
    <r>
      <rPr>
        <sz val="11"/>
        <rFont val="Arial"/>
        <family val="2"/>
      </rPr>
      <t>Slowenien</t>
    </r>
  </si>
  <si>
    <r>
      <rPr>
        <sz val="11"/>
        <rFont val="Arial"/>
        <family val="2"/>
      </rPr>
      <t>Spanien</t>
    </r>
  </si>
  <si>
    <r>
      <rPr>
        <sz val="11"/>
        <rFont val="Arial"/>
        <family val="2"/>
      </rPr>
      <t>–        Barcelona</t>
    </r>
  </si>
  <si>
    <r>
      <rPr>
        <sz val="11"/>
        <rFont val="Arial"/>
        <family val="2"/>
      </rPr>
      <t>–        Kanarische Inseln</t>
    </r>
  </si>
  <si>
    <r>
      <rPr>
        <sz val="11"/>
        <rFont val="Arial"/>
        <family val="2"/>
      </rPr>
      <t>–        Madrid</t>
    </r>
  </si>
  <si>
    <r>
      <rPr>
        <sz val="11"/>
        <rFont val="Arial"/>
        <family val="2"/>
      </rPr>
      <t>–        Palma de Mallorca</t>
    </r>
  </si>
  <si>
    <r>
      <rPr>
        <sz val="11"/>
        <rFont val="Arial"/>
        <family val="2"/>
      </rPr>
      <t>Sri Lanka</t>
    </r>
  </si>
  <si>
    <r>
      <rPr>
        <sz val="11"/>
        <rFont val="Arial"/>
        <family val="2"/>
      </rPr>
      <t>Sudan</t>
    </r>
  </si>
  <si>
    <r>
      <rPr>
        <sz val="11"/>
        <rFont val="Arial"/>
        <family val="2"/>
      </rPr>
      <t>Südafrika</t>
    </r>
  </si>
  <si>
    <r>
      <rPr>
        <sz val="11"/>
        <rFont val="Arial"/>
        <family val="2"/>
      </rPr>
      <t>–        Kapstadt</t>
    </r>
  </si>
  <si>
    <r>
      <rPr>
        <sz val="11"/>
        <rFont val="Arial"/>
        <family val="2"/>
      </rPr>
      <t>–        Johannesburg</t>
    </r>
  </si>
  <si>
    <r>
      <rPr>
        <sz val="11"/>
        <rFont val="Arial"/>
        <family val="2"/>
      </rPr>
      <t>Südsudan</t>
    </r>
  </si>
  <si>
    <r>
      <rPr>
        <sz val="11"/>
        <rFont val="Arial"/>
        <family val="2"/>
      </rPr>
      <t>Syrien</t>
    </r>
  </si>
  <si>
    <r>
      <rPr>
        <sz val="11"/>
        <rFont val="Arial"/>
        <family val="2"/>
      </rPr>
      <t>Tadschikistan</t>
    </r>
  </si>
  <si>
    <r>
      <rPr>
        <sz val="11"/>
        <rFont val="Arial"/>
        <family val="2"/>
      </rPr>
      <t>Taiwan</t>
    </r>
  </si>
  <si>
    <r>
      <rPr>
        <sz val="11"/>
        <rFont val="Arial"/>
        <family val="2"/>
      </rPr>
      <t>Tansania</t>
    </r>
  </si>
  <si>
    <r>
      <rPr>
        <sz val="11"/>
        <rFont val="Arial"/>
        <family val="2"/>
      </rPr>
      <t>Thailand</t>
    </r>
  </si>
  <si>
    <r>
      <rPr>
        <sz val="11"/>
        <rFont val="Arial"/>
        <family val="2"/>
      </rPr>
      <t>Togo</t>
    </r>
  </si>
  <si>
    <r>
      <rPr>
        <sz val="11"/>
        <rFont val="Arial"/>
        <family val="2"/>
      </rPr>
      <t>Tonga</t>
    </r>
  </si>
  <si>
    <r>
      <rPr>
        <sz val="11"/>
        <rFont val="Arial"/>
        <family val="2"/>
      </rPr>
      <t>Trinidad und Tobago</t>
    </r>
  </si>
  <si>
    <r>
      <rPr>
        <sz val="11"/>
        <rFont val="Arial"/>
        <family val="2"/>
      </rPr>
      <t>Tschad</t>
    </r>
  </si>
  <si>
    <r>
      <rPr>
        <sz val="11"/>
        <rFont val="Arial"/>
        <family val="2"/>
      </rPr>
      <t>Tschechische Republik</t>
    </r>
  </si>
  <si>
    <r>
      <rPr>
        <sz val="11"/>
        <rFont val="Arial"/>
        <family val="2"/>
      </rPr>
      <t>Türkei</t>
    </r>
  </si>
  <si>
    <r>
      <rPr>
        <sz val="11"/>
        <rFont val="Arial"/>
        <family val="2"/>
      </rPr>
      <t xml:space="preserve">–        </t>
    </r>
    <r>
      <rPr>
        <b/>
        <sz val="11"/>
        <rFont val="Arial"/>
        <family val="2"/>
      </rPr>
      <t>Ankara</t>
    </r>
  </si>
  <si>
    <r>
      <rPr>
        <sz val="11"/>
        <rFont val="Arial"/>
        <family val="2"/>
      </rPr>
      <t>–        Izmir</t>
    </r>
  </si>
  <si>
    <r>
      <rPr>
        <sz val="11"/>
        <rFont val="Arial"/>
        <family val="2"/>
      </rPr>
      <t>Tunesien</t>
    </r>
  </si>
  <si>
    <r>
      <rPr>
        <sz val="11"/>
        <rFont val="Arial"/>
        <family val="2"/>
      </rPr>
      <t>Turkmenistan</t>
    </r>
  </si>
  <si>
    <r>
      <rPr>
        <sz val="11"/>
        <rFont val="Arial"/>
        <family val="2"/>
      </rPr>
      <t>Uganda</t>
    </r>
  </si>
  <si>
    <r>
      <rPr>
        <sz val="11"/>
        <rFont val="Arial"/>
        <family val="2"/>
      </rPr>
      <t>Ukraine</t>
    </r>
  </si>
  <si>
    <r>
      <rPr>
        <sz val="11"/>
        <rFont val="Arial"/>
        <family val="2"/>
      </rPr>
      <t>Ungarn</t>
    </r>
  </si>
  <si>
    <r>
      <rPr>
        <sz val="11"/>
        <rFont val="Arial"/>
        <family val="2"/>
      </rPr>
      <t>Uruguay</t>
    </r>
  </si>
  <si>
    <r>
      <rPr>
        <sz val="11"/>
        <rFont val="Arial"/>
        <family val="2"/>
      </rPr>
      <t>Usbekistan</t>
    </r>
  </si>
  <si>
    <r>
      <rPr>
        <sz val="11"/>
        <rFont val="Arial"/>
        <family val="2"/>
      </rPr>
      <t>Vatikanstaat</t>
    </r>
  </si>
  <si>
    <r>
      <rPr>
        <sz val="11"/>
        <rFont val="Arial"/>
        <family val="2"/>
      </rPr>
      <t>Venezuela</t>
    </r>
  </si>
  <si>
    <r>
      <rPr>
        <sz val="11"/>
        <rFont val="Arial"/>
        <family val="2"/>
      </rPr>
      <t>Vereinigte Arabische Emirate</t>
    </r>
  </si>
  <si>
    <r>
      <rPr>
        <sz val="11"/>
        <rFont val="Arial"/>
        <family val="2"/>
      </rPr>
      <t xml:space="preserve">Vereinigte Staaten von Amerika
</t>
    </r>
    <r>
      <rPr>
        <sz val="11"/>
        <rFont val="Arial"/>
        <family val="2"/>
      </rPr>
      <t>(USA)</t>
    </r>
  </si>
  <si>
    <r>
      <rPr>
        <sz val="11"/>
        <rFont val="Arial"/>
        <family val="2"/>
      </rPr>
      <t>–         Atlanta</t>
    </r>
  </si>
  <si>
    <r>
      <rPr>
        <sz val="11"/>
        <rFont val="Arial"/>
        <family val="2"/>
      </rPr>
      <t>–        Boston</t>
    </r>
  </si>
  <si>
    <r>
      <rPr>
        <sz val="11"/>
        <rFont val="Arial"/>
        <family val="2"/>
      </rPr>
      <t>–         Chicago</t>
    </r>
  </si>
  <si>
    <r>
      <rPr>
        <sz val="11"/>
        <rFont val="Arial"/>
        <family val="2"/>
      </rPr>
      <t>–        Houston</t>
    </r>
  </si>
  <si>
    <r>
      <rPr>
        <sz val="11"/>
        <rFont val="Arial"/>
        <family val="2"/>
      </rPr>
      <t>–         Los Angeles</t>
    </r>
  </si>
  <si>
    <r>
      <rPr>
        <sz val="11"/>
        <rFont val="Arial"/>
        <family val="2"/>
      </rPr>
      <t>–         Miami</t>
    </r>
  </si>
  <si>
    <r>
      <rPr>
        <sz val="11"/>
        <rFont val="Arial"/>
        <family val="2"/>
      </rPr>
      <t>–         New York City</t>
    </r>
  </si>
  <si>
    <r>
      <rPr>
        <sz val="11"/>
        <rFont val="Arial"/>
        <family val="2"/>
      </rPr>
      <t>–        San Francisco</t>
    </r>
  </si>
  <si>
    <r>
      <rPr>
        <sz val="11"/>
        <rFont val="Arial"/>
        <family val="2"/>
      </rPr>
      <t>–         Washington, D. C.</t>
    </r>
  </si>
  <si>
    <r>
      <rPr>
        <sz val="11"/>
        <rFont val="Arial"/>
        <family val="2"/>
      </rPr>
      <t xml:space="preserve">Vereinigtes Königreich von
</t>
    </r>
    <r>
      <rPr>
        <sz val="11"/>
        <rFont val="Arial"/>
        <family val="2"/>
      </rPr>
      <t>Großbritannien und Nordirland</t>
    </r>
  </si>
  <si>
    <r>
      <rPr>
        <sz val="11"/>
        <rFont val="Arial"/>
        <family val="2"/>
      </rPr>
      <t>–        London</t>
    </r>
  </si>
  <si>
    <r>
      <rPr>
        <sz val="11"/>
        <rFont val="Arial"/>
        <family val="2"/>
      </rPr>
      <t>Vietnam</t>
    </r>
  </si>
  <si>
    <r>
      <rPr>
        <sz val="11"/>
        <rFont val="Arial"/>
        <family val="2"/>
      </rPr>
      <t>Weißrussland</t>
    </r>
  </si>
  <si>
    <r>
      <rPr>
        <sz val="11"/>
        <rFont val="Arial"/>
        <family val="2"/>
      </rPr>
      <t>Zentralafrikanische Republik</t>
    </r>
  </si>
  <si>
    <r>
      <rPr>
        <sz val="11"/>
        <rFont val="Arial"/>
        <family val="2"/>
      </rPr>
      <t>Zypern</t>
    </r>
  </si>
  <si>
    <t>Iran</t>
  </si>
  <si>
    <t>Elfenbeinküste (Côte d'Ivoire)</t>
  </si>
  <si>
    <t>Übereinstimmung Land</t>
  </si>
  <si>
    <t>Bezeichnung Land entspr. In BMF-Schreiben</t>
  </si>
  <si>
    <t>–        Canberra</t>
  </si>
  <si>
    <r>
      <rPr>
        <sz val="11"/>
        <rFont val="Arial"/>
        <family val="2"/>
      </rPr>
      <t>Australien</t>
    </r>
  </si>
  <si>
    <r>
      <rPr>
        <sz val="11"/>
        <rFont val="Arial"/>
        <family val="2"/>
      </rPr>
      <t>Brasilien</t>
    </r>
  </si>
  <si>
    <r>
      <rPr>
        <sz val="11"/>
        <rFont val="Arial"/>
        <family val="2"/>
      </rPr>
      <t>China</t>
    </r>
  </si>
  <si>
    <t>–        Sydney</t>
  </si>
  <si>
    <t>–        im Übrigen</t>
  </si>
  <si>
    <t>–        Brasilia</t>
  </si>
  <si>
    <t>–        Rio de Janeiro</t>
  </si>
  <si>
    <t>–        Sao Paulo</t>
  </si>
  <si>
    <t>–        Chengdu</t>
  </si>
  <si>
    <t>–        Hongkong</t>
  </si>
  <si>
    <t>–        Kanton</t>
  </si>
  <si>
    <t>–        Peking</t>
  </si>
  <si>
    <t>–        Shanghai</t>
  </si>
  <si>
    <t>Côte d’Ivoire</t>
  </si>
  <si>
    <t>–        Paris sowie die
Departments 77, 78, 91 bis 95</t>
  </si>
  <si>
    <t>–        Athen</t>
  </si>
  <si>
    <t>–        Bangalore</t>
  </si>
  <si>
    <t>–        Chennai</t>
  </si>
  <si>
    <t>–        Kalkutta</t>
  </si>
  <si>
    <t>–        Mumbai</t>
  </si>
  <si>
    <t>–        Neu Delhi</t>
  </si>
  <si>
    <t>–        Mailand</t>
  </si>
  <si>
    <t>–        Rom</t>
  </si>
  <si>
    <t>Legende</t>
  </si>
  <si>
    <t>Schrift</t>
  </si>
  <si>
    <t>Zur Prüfung</t>
  </si>
  <si>
    <t>Anzahl Einträge in BMF-Schreiben</t>
  </si>
  <si>
    <t>Differenz:</t>
  </si>
  <si>
    <t>Anzahl Einträge in Tabelle (abzgl. DE)</t>
  </si>
  <si>
    <t>Japan: Osaka</t>
  </si>
  <si>
    <t>–        Tokio</t>
  </si>
  <si>
    <t>–        Osaka</t>
  </si>
  <si>
    <t>Spalte2</t>
  </si>
  <si>
    <t>Spalte3</t>
  </si>
  <si>
    <t>Übereinstimmung</t>
  </si>
  <si>
    <t>Prüfspalten</t>
  </si>
  <si>
    <t>Über-nachtung</t>
  </si>
  <si>
    <t>Kongo, Demokratische Republik</t>
  </si>
  <si>
    <t>Korea, Demokratische
Volksrepublik</t>
  </si>
  <si>
    <t>–        Ottawa</t>
  </si>
  <si>
    <t>–        Toronto</t>
  </si>
  <si>
    <t>–        Vancouver</t>
  </si>
  <si>
    <t>Myanmar</t>
  </si>
  <si>
    <t>–        Islamabad</t>
  </si>
  <si>
    <t xml:space="preserve">Kann vorkommen, wenn in Spalte J "im Übrigen" eingetragen wird -&gt; Werte gesondert vergleichen. </t>
  </si>
  <si>
    <t xml:space="preserve">Falls Stadt/Bezirk unter anderer Bezeichnung geführt wird, diese in Spalte J kopieren. </t>
  </si>
  <si>
    <t>–        Breslau</t>
  </si>
  <si>
    <t>–        Warschau</t>
  </si>
  <si>
    <t>–        Bukarest</t>
  </si>
  <si>
    <t>–        Moskau</t>
  </si>
  <si>
    <t>–        St. Petersburg</t>
  </si>
  <si>
    <t>Saudi-Arabien: Djidda</t>
  </si>
  <si>
    <t>Saudi-Arabien: Riad</t>
  </si>
  <si>
    <t>Saudi-Arabien (Übriges)</t>
  </si>
  <si>
    <t>–        Djidda</t>
  </si>
  <si>
    <t>–        Riad</t>
  </si>
  <si>
    <t>–        Genf</t>
  </si>
  <si>
    <t>–        Barcelona</t>
  </si>
  <si>
    <t>–        Kanarische Inseln</t>
  </si>
  <si>
    <t>–        Madrid</t>
  </si>
  <si>
    <t>–        Palma de Mallorca</t>
  </si>
  <si>
    <t>Sri Lanka</t>
  </si>
  <si>
    <t>–        Kapstadt</t>
  </si>
  <si>
    <t>–        Johannesburg</t>
  </si>
  <si>
    <t>–        Ankara</t>
  </si>
  <si>
    <t>–        Izmir</t>
  </si>
  <si>
    <t>Vereinigte Arabische Emirate</t>
  </si>
  <si>
    <t>–         Atlanta</t>
  </si>
  <si>
    <t>–        Boston</t>
  </si>
  <si>
    <t>–         Chicago</t>
  </si>
  <si>
    <t>–        Houston</t>
  </si>
  <si>
    <t>–         Los Angeles</t>
  </si>
  <si>
    <t>–         Miami</t>
  </si>
  <si>
    <t>–         New York City</t>
  </si>
  <si>
    <t>–        San Francisco</t>
  </si>
  <si>
    <t>–         Washington, D. C.</t>
  </si>
  <si>
    <t>–        London</t>
  </si>
  <si>
    <t>Liberia</t>
  </si>
  <si>
    <r>
      <t xml:space="preserve">Bezeichnung findet sich </t>
    </r>
    <r>
      <rPr>
        <b/>
        <u/>
        <sz val="11"/>
        <color theme="1"/>
        <rFont val="Calibri"/>
        <family val="2"/>
        <scheme val="minor"/>
      </rPr>
      <t>nicht</t>
    </r>
    <r>
      <rPr>
        <sz val="11"/>
        <color theme="1"/>
        <rFont val="Calibri"/>
        <family val="2"/>
        <scheme val="minor"/>
      </rPr>
      <t xml:space="preserve"> in der Tabelle des BMF.</t>
    </r>
  </si>
  <si>
    <r>
      <t xml:space="preserve">Wert stimmt </t>
    </r>
    <r>
      <rPr>
        <b/>
        <u/>
        <sz val="11"/>
        <color theme="1"/>
        <rFont val="Calibri"/>
        <family val="2"/>
        <scheme val="minor"/>
      </rPr>
      <t>nicht</t>
    </r>
    <r>
      <rPr>
        <sz val="11"/>
        <color theme="1"/>
        <rFont val="Calibri"/>
        <family val="2"/>
        <scheme val="minor"/>
      </rPr>
      <t xml:space="preserve"> mit Tabelle BMF überein. </t>
    </r>
  </si>
  <si>
    <t>Bezeichnung des BMF findet sich in der Aufstellung links.</t>
  </si>
  <si>
    <t>Vorgehen</t>
  </si>
  <si>
    <t>Oder</t>
  </si>
  <si>
    <t>Entweder</t>
  </si>
  <si>
    <t xml:space="preserve">Werte des BMF "händisch" mit den Werten in der Tabelle abgleichen. </t>
  </si>
  <si>
    <t>1. BMF-Schreiben als PFD herunterladen.</t>
  </si>
  <si>
    <t>2. Mit Small-PDF in Excel konvertieren.</t>
  </si>
  <si>
    <t xml:space="preserve">3. Tabelle hier links einfügen. </t>
  </si>
  <si>
    <t xml:space="preserve">4. Bezeichnungen und Werte mithilfe der bedingten Formatiereungen (Farben) abgleichen. </t>
  </si>
  <si>
    <t>Stand: 14.01.2025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</si>
</sst>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[hh]:mm"/>
    <numFmt numFmtId="166" formatCode="dd/mm/yy;@"/>
    <numFmt numFmtId="167" formatCode="h:mm;@"/>
    <numFmt numFmtId="168" formatCode="_-* #,##0.00\ [$€-407]_-;\-* #,##0.00\ [$€-407]_-;_-* &quot;-&quot;??\ [$€-407]_-;_-@_-"/>
    <numFmt numFmtId="169" formatCode="#,###\ &quot;km&quot;"/>
    <numFmt numFmtId="170" formatCode="dd/mm/"/>
  </numFmts>
  <fonts count="4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indexed="9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rgb="FFFF0000"/>
      <name val="Arial"/>
      <family val="2"/>
    </font>
    <font>
      <b/>
      <sz val="8"/>
      <color rgb="FFFF0000"/>
      <name val="Arial"/>
      <family val="2"/>
    </font>
    <font>
      <b/>
      <sz val="9"/>
      <color rgb="FFFF0000"/>
      <name val="Arial"/>
      <family val="2"/>
    </font>
    <font>
      <sz val="11"/>
      <name val="Arial"/>
      <family val="2"/>
    </font>
    <font>
      <b/>
      <sz val="12"/>
      <color rgb="FFFF0000"/>
      <name val="Arial"/>
      <family val="2"/>
    </font>
    <font>
      <u/>
      <sz val="9"/>
      <name val="Arial"/>
      <family val="2"/>
    </font>
    <font>
      <b/>
      <sz val="11"/>
      <color rgb="FFFF0000"/>
      <name val="Calibri"/>
      <family val="2"/>
      <scheme val="minor"/>
    </font>
    <font>
      <sz val="9"/>
      <color theme="0" tint="-0.14999847407452621"/>
      <name val="Arial"/>
      <family val="2"/>
    </font>
    <font>
      <sz val="9"/>
      <color theme="0"/>
      <name val="Arial"/>
      <family val="2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u/>
      <sz val="9"/>
      <color indexed="81"/>
      <name val="Segoe UI"/>
      <family val="2"/>
    </font>
    <font>
      <b/>
      <u/>
      <sz val="9"/>
      <name val="Arial"/>
      <family val="2"/>
    </font>
    <font>
      <u/>
      <sz val="10"/>
      <color rgb="FFFF0000"/>
      <name val="Arial"/>
      <family val="2"/>
    </font>
    <font>
      <b/>
      <sz val="10"/>
      <color rgb="FFFF0000"/>
      <name val="Arial"/>
      <family val="2"/>
    </font>
    <font>
      <sz val="14"/>
      <color rgb="FFFF0000"/>
      <name val="Arial"/>
      <family val="2"/>
    </font>
    <font>
      <b/>
      <sz val="14"/>
      <color rgb="FFFF0000"/>
      <name val="Arial"/>
      <family val="2"/>
    </font>
    <font>
      <b/>
      <u/>
      <sz val="14"/>
      <color rgb="FFFF0000"/>
      <name val="Arial"/>
      <family val="2"/>
    </font>
    <font>
      <u/>
      <sz val="14"/>
      <color rgb="FFFF0000"/>
      <name val="Arial"/>
      <family val="2"/>
    </font>
    <font>
      <sz val="11"/>
      <color rgb="FFFF0000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u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79998168889431442"/>
        <bgColor indexed="64"/>
      </patternFill>
    </fill>
  </fills>
  <borders count="5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FF0000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FF0000"/>
      </right>
      <top style="thin">
        <color indexed="64"/>
      </top>
      <bottom style="medium">
        <color indexed="64"/>
      </bottom>
      <diagonal/>
    </border>
    <border>
      <left style="thin">
        <color rgb="FFFF0000"/>
      </left>
      <right/>
      <top style="thin">
        <color rgb="FFFF0000"/>
      </top>
      <bottom style="medium">
        <color indexed="64"/>
      </bottom>
      <diagonal/>
    </border>
    <border>
      <left/>
      <right/>
      <top style="thin">
        <color rgb="FFFF0000"/>
      </top>
      <bottom style="medium">
        <color indexed="64"/>
      </bottom>
      <diagonal/>
    </border>
    <border>
      <left/>
      <right style="thin">
        <color rgb="FFFF0000"/>
      </right>
      <top style="thin">
        <color rgb="FFFF0000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FF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5">
    <xf numFmtId="0" fontId="0" fillId="0" borderId="0"/>
    <xf numFmtId="0" fontId="20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8" fillId="0" borderId="0"/>
    <xf numFmtId="44" fontId="9" fillId="0" borderId="0" applyFont="0" applyFill="0" applyBorder="0" applyAlignment="0" applyProtection="0"/>
  </cellStyleXfs>
  <cellXfs count="317">
    <xf numFmtId="0" fontId="0" fillId="0" borderId="0" xfId="0"/>
    <xf numFmtId="164" fontId="13" fillId="3" borderId="0" xfId="4" applyNumberFormat="1" applyFont="1" applyFill="1" applyBorder="1" applyAlignment="1" applyProtection="1">
      <alignment vertical="center"/>
    </xf>
    <xf numFmtId="44" fontId="13" fillId="0" borderId="0" xfId="4" applyFont="1" applyBorder="1" applyAlignment="1" applyProtection="1">
      <alignment horizontal="center" vertical="center"/>
    </xf>
    <xf numFmtId="44" fontId="12" fillId="0" borderId="0" xfId="4" applyFont="1" applyBorder="1" applyAlignment="1" applyProtection="1">
      <alignment vertical="center"/>
    </xf>
    <xf numFmtId="166" fontId="12" fillId="6" borderId="32" xfId="0" applyNumberFormat="1" applyFont="1" applyFill="1" applyBorder="1" applyAlignment="1" applyProtection="1">
      <alignment horizontal="center" vertical="center" wrapText="1"/>
      <protection locked="0"/>
    </xf>
    <xf numFmtId="165" fontId="12" fillId="6" borderId="32" xfId="0" applyNumberFormat="1" applyFont="1" applyFill="1" applyBorder="1" applyAlignment="1" applyProtection="1">
      <alignment horizontal="center" vertical="center" wrapText="1"/>
      <protection locked="0"/>
    </xf>
    <xf numFmtId="167" fontId="12" fillId="6" borderId="32" xfId="0" applyNumberFormat="1" applyFont="1" applyFill="1" applyBorder="1" applyAlignment="1" applyProtection="1">
      <alignment horizontal="center" vertical="center" wrapText="1"/>
      <protection locked="0"/>
    </xf>
    <xf numFmtId="165" fontId="12" fillId="6" borderId="25" xfId="0" applyNumberFormat="1" applyFont="1" applyFill="1" applyBorder="1" applyAlignment="1" applyProtection="1">
      <alignment horizontal="center" vertical="center" wrapText="1"/>
      <protection locked="0"/>
    </xf>
    <xf numFmtId="167" fontId="12" fillId="6" borderId="25" xfId="0" applyNumberFormat="1" applyFont="1" applyFill="1" applyBorder="1" applyAlignment="1" applyProtection="1">
      <alignment horizontal="center" vertical="center" wrapText="1"/>
      <protection locked="0"/>
    </xf>
    <xf numFmtId="3" fontId="12" fillId="6" borderId="32" xfId="0" applyNumberFormat="1" applyFont="1" applyFill="1" applyBorder="1" applyAlignment="1" applyProtection="1">
      <alignment horizontal="right" vertical="center"/>
      <protection locked="0"/>
    </xf>
    <xf numFmtId="44" fontId="13" fillId="0" borderId="5" xfId="4" applyFont="1" applyBorder="1" applyAlignment="1" applyProtection="1">
      <alignment horizontal="left" vertical="center"/>
    </xf>
    <xf numFmtId="4" fontId="12" fillId="6" borderId="32" xfId="0" applyNumberFormat="1" applyFont="1" applyFill="1" applyBorder="1" applyAlignment="1" applyProtection="1">
      <alignment vertical="center" wrapText="1"/>
      <protection locked="0"/>
    </xf>
    <xf numFmtId="4" fontId="12" fillId="6" borderId="25" xfId="0" applyNumberFormat="1" applyFont="1" applyFill="1" applyBorder="1" applyAlignment="1" applyProtection="1">
      <alignment vertical="center" wrapText="1"/>
      <protection locked="0"/>
    </xf>
    <xf numFmtId="44" fontId="12" fillId="0" borderId="0" xfId="4" applyFont="1" applyFill="1" applyBorder="1" applyAlignment="1" applyProtection="1">
      <alignment vertical="center"/>
    </xf>
    <xf numFmtId="164" fontId="13" fillId="3" borderId="19" xfId="4" applyNumberFormat="1" applyFont="1" applyFill="1" applyBorder="1" applyAlignment="1" applyProtection="1">
      <alignment vertical="center"/>
    </xf>
    <xf numFmtId="164" fontId="13" fillId="0" borderId="0" xfId="4" applyNumberFormat="1" applyFont="1" applyFill="1" applyBorder="1" applyAlignment="1" applyProtection="1">
      <alignment vertical="center"/>
    </xf>
    <xf numFmtId="168" fontId="13" fillId="0" borderId="0" xfId="4" applyNumberFormat="1" applyFont="1" applyFill="1" applyBorder="1" applyAlignment="1" applyProtection="1">
      <alignment horizontal="center" vertical="center"/>
    </xf>
    <xf numFmtId="168" fontId="13" fillId="0" borderId="35" xfId="4" applyNumberFormat="1" applyFont="1" applyFill="1" applyBorder="1" applyAlignment="1" applyProtection="1">
      <alignment horizontal="center" vertical="center"/>
    </xf>
    <xf numFmtId="168" fontId="12" fillId="3" borderId="0" xfId="4" applyNumberFormat="1" applyFont="1" applyFill="1" applyBorder="1" applyAlignment="1" applyProtection="1">
      <alignment vertical="center"/>
    </xf>
    <xf numFmtId="168" fontId="12" fillId="0" borderId="0" xfId="4" applyNumberFormat="1" applyFont="1" applyFill="1" applyBorder="1" applyAlignment="1" applyProtection="1">
      <alignment vertical="center"/>
    </xf>
    <xf numFmtId="168" fontId="28" fillId="3" borderId="0" xfId="4" applyNumberFormat="1" applyFont="1" applyFill="1" applyBorder="1" applyAlignment="1" applyProtection="1">
      <alignment vertical="center"/>
    </xf>
    <xf numFmtId="168" fontId="12" fillId="6" borderId="6" xfId="0" applyNumberFormat="1" applyFont="1" applyFill="1" applyBorder="1" applyAlignment="1" applyProtection="1">
      <alignment vertical="center"/>
      <protection locked="0"/>
    </xf>
    <xf numFmtId="168" fontId="28" fillId="3" borderId="0" xfId="4" applyNumberFormat="1" applyFont="1" applyFill="1" applyBorder="1" applyAlignment="1" applyProtection="1">
      <alignment vertical="center"/>
      <protection locked="0"/>
    </xf>
    <xf numFmtId="0" fontId="19" fillId="2" borderId="0" xfId="3" applyFont="1" applyFill="1" applyAlignment="1">
      <alignment horizontal="center" vertical="center"/>
    </xf>
    <xf numFmtId="0" fontId="18" fillId="0" borderId="0" xfId="3"/>
    <xf numFmtId="0" fontId="19" fillId="2" borderId="0" xfId="3" applyFont="1" applyFill="1" applyAlignment="1">
      <alignment horizontal="center" vertical="top" wrapText="1"/>
    </xf>
    <xf numFmtId="0" fontId="18" fillId="0" borderId="0" xfId="3" applyAlignment="1">
      <alignment horizontal="center"/>
    </xf>
    <xf numFmtId="2" fontId="12" fillId="6" borderId="32" xfId="0" applyNumberFormat="1" applyFont="1" applyFill="1" applyBorder="1" applyAlignment="1" applyProtection="1">
      <alignment horizontal="center" vertical="center" wrapText="1"/>
      <protection locked="0"/>
    </xf>
    <xf numFmtId="2" fontId="12" fillId="6" borderId="25" xfId="0" applyNumberFormat="1" applyFont="1" applyFill="1" applyBorder="1" applyAlignment="1" applyProtection="1">
      <alignment horizontal="center" vertical="center" wrapText="1"/>
      <protection locked="0"/>
    </xf>
    <xf numFmtId="168" fontId="28" fillId="3" borderId="19" xfId="4" applyNumberFormat="1" applyFont="1" applyFill="1" applyBorder="1" applyAlignment="1" applyProtection="1">
      <alignment vertical="center"/>
    </xf>
    <xf numFmtId="2" fontId="12" fillId="6" borderId="41" xfId="0" applyNumberFormat="1" applyFont="1" applyFill="1" applyBorder="1" applyAlignment="1" applyProtection="1">
      <alignment vertical="center"/>
      <protection locked="0"/>
    </xf>
    <xf numFmtId="1" fontId="12" fillId="6" borderId="32" xfId="0" applyNumberFormat="1" applyFont="1" applyFill="1" applyBorder="1" applyAlignment="1" applyProtection="1">
      <alignment horizontal="right" vertical="center"/>
      <protection locked="0"/>
    </xf>
    <xf numFmtId="3" fontId="12" fillId="6" borderId="25" xfId="0" applyNumberFormat="1" applyFont="1" applyFill="1" applyBorder="1" applyAlignment="1" applyProtection="1">
      <alignment horizontal="right" vertical="center"/>
      <protection locked="0"/>
    </xf>
    <xf numFmtId="2" fontId="12" fillId="6" borderId="42" xfId="0" applyNumberFormat="1" applyFont="1" applyFill="1" applyBorder="1" applyAlignment="1" applyProtection="1">
      <alignment vertical="center"/>
      <protection locked="0"/>
    </xf>
    <xf numFmtId="170" fontId="12" fillId="6" borderId="40" xfId="0" applyNumberFormat="1" applyFont="1" applyFill="1" applyBorder="1" applyAlignment="1" applyProtection="1">
      <alignment horizontal="center" vertical="center" wrapText="1"/>
      <protection locked="0"/>
    </xf>
    <xf numFmtId="170" fontId="12" fillId="6" borderId="32" xfId="0" applyNumberFormat="1" applyFont="1" applyFill="1" applyBorder="1" applyAlignment="1" applyProtection="1">
      <alignment horizontal="center" vertical="center" wrapText="1"/>
      <protection locked="0"/>
    </xf>
    <xf numFmtId="170" fontId="12" fillId="6" borderId="25" xfId="0" applyNumberFormat="1" applyFont="1" applyFill="1" applyBorder="1" applyAlignment="1" applyProtection="1">
      <alignment horizontal="center" vertical="center" wrapText="1"/>
      <protection locked="0"/>
    </xf>
    <xf numFmtId="168" fontId="14" fillId="0" borderId="0" xfId="0" applyNumberFormat="1" applyFont="1" applyAlignment="1" applyProtection="1">
      <alignment vertical="center"/>
      <protection locked="0"/>
    </xf>
    <xf numFmtId="0" fontId="15" fillId="5" borderId="17" xfId="0" applyFont="1" applyFill="1" applyBorder="1" applyAlignment="1">
      <alignment vertical="center"/>
    </xf>
    <xf numFmtId="0" fontId="15" fillId="5" borderId="18" xfId="0" applyFont="1" applyFill="1" applyBorder="1" applyAlignment="1">
      <alignment vertical="center"/>
    </xf>
    <xf numFmtId="0" fontId="15" fillId="5" borderId="44" xfId="0" applyFont="1" applyFill="1" applyBorder="1" applyAlignment="1">
      <alignment vertical="center"/>
    </xf>
    <xf numFmtId="0" fontId="8" fillId="0" borderId="0" xfId="0" applyFont="1"/>
    <xf numFmtId="0" fontId="16" fillId="0" borderId="0" xfId="0" applyFont="1"/>
    <xf numFmtId="0" fontId="0" fillId="0" borderId="34" xfId="0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/>
    <xf numFmtId="0" fontId="0" fillId="0" borderId="35" xfId="0" applyBorder="1"/>
    <xf numFmtId="0" fontId="24" fillId="6" borderId="0" xfId="0" applyFont="1" applyFill="1" applyAlignment="1">
      <alignment vertical="center"/>
    </xf>
    <xf numFmtId="0" fontId="16" fillId="0" borderId="0" xfId="0" quotePrefix="1" applyFont="1" applyAlignment="1">
      <alignment vertical="center"/>
    </xf>
    <xf numFmtId="0" fontId="8" fillId="3" borderId="45" xfId="0" applyFont="1" applyFill="1" applyBorder="1" applyAlignment="1">
      <alignment vertical="center"/>
    </xf>
    <xf numFmtId="0" fontId="8" fillId="3" borderId="23" xfId="0" applyFont="1" applyFill="1" applyBorder="1" applyAlignment="1">
      <alignment horizontal="right" vertical="center" indent="2"/>
    </xf>
    <xf numFmtId="0" fontId="8" fillId="3" borderId="16" xfId="0" applyFont="1" applyFill="1" applyBorder="1" applyAlignment="1">
      <alignment vertical="center"/>
    </xf>
    <xf numFmtId="0" fontId="8" fillId="3" borderId="46" xfId="0" applyFont="1" applyFill="1" applyBorder="1" applyAlignment="1">
      <alignment vertical="center"/>
    </xf>
    <xf numFmtId="0" fontId="9" fillId="0" borderId="0" xfId="0" applyFont="1"/>
    <xf numFmtId="0" fontId="9" fillId="6" borderId="0" xfId="0" applyFont="1" applyFill="1"/>
    <xf numFmtId="0" fontId="24" fillId="0" borderId="0" xfId="0" applyFont="1" applyAlignment="1">
      <alignment vertical="center"/>
    </xf>
    <xf numFmtId="0" fontId="16" fillId="0" borderId="0" xfId="0" applyFont="1" applyAlignment="1">
      <alignment vertical="top"/>
    </xf>
    <xf numFmtId="0" fontId="7" fillId="0" borderId="34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35" xfId="0" applyFont="1" applyBorder="1" applyAlignment="1">
      <alignment vertical="center"/>
    </xf>
    <xf numFmtId="0" fontId="24" fillId="0" borderId="22" xfId="0" applyFont="1" applyBorder="1" applyAlignment="1">
      <alignment horizontal="center" vertical="center"/>
    </xf>
    <xf numFmtId="0" fontId="16" fillId="0" borderId="43" xfId="0" quotePrefix="1" applyFont="1" applyBorder="1" applyAlignment="1">
      <alignment vertical="center"/>
    </xf>
    <xf numFmtId="0" fontId="8" fillId="3" borderId="47" xfId="0" applyFont="1" applyFill="1" applyBorder="1" applyAlignment="1">
      <alignment vertical="center"/>
    </xf>
    <xf numFmtId="0" fontId="8" fillId="3" borderId="48" xfId="0" applyFont="1" applyFill="1" applyBorder="1" applyAlignment="1">
      <alignment horizontal="right" vertical="center" indent="2"/>
    </xf>
    <xf numFmtId="0" fontId="8" fillId="3" borderId="52" xfId="0" applyFont="1" applyFill="1" applyBorder="1" applyAlignment="1">
      <alignment vertical="center"/>
    </xf>
    <xf numFmtId="0" fontId="8" fillId="3" borderId="53" xfId="0" applyFont="1" applyFill="1" applyBorder="1" applyAlignment="1">
      <alignment vertical="center"/>
    </xf>
    <xf numFmtId="165" fontId="0" fillId="0" borderId="0" xfId="0" applyNumberFormat="1"/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4" fillId="3" borderId="0" xfId="0" applyFont="1" applyFill="1" applyAlignment="1">
      <alignment horizontal="left" vertical="center"/>
    </xf>
    <xf numFmtId="0" fontId="16" fillId="0" borderId="14" xfId="0" quotePrefix="1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11" fillId="3" borderId="35" xfId="0" applyFont="1" applyFill="1" applyBorder="1" applyAlignment="1">
      <alignment vertical="center"/>
    </xf>
    <xf numFmtId="0" fontId="12" fillId="4" borderId="9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49" fontId="12" fillId="4" borderId="27" xfId="0" applyNumberFormat="1" applyFont="1" applyFill="1" applyBorder="1" applyAlignment="1">
      <alignment horizontal="center" vertical="center" textRotation="90" wrapText="1"/>
    </xf>
    <xf numFmtId="167" fontId="12" fillId="4" borderId="27" xfId="0" applyNumberFormat="1" applyFont="1" applyFill="1" applyBorder="1" applyAlignment="1">
      <alignment horizontal="center" vertical="center" textRotation="90" wrapText="1"/>
    </xf>
    <xf numFmtId="2" fontId="12" fillId="4" borderId="10" xfId="0" applyNumberFormat="1" applyFont="1" applyFill="1" applyBorder="1" applyAlignment="1">
      <alignment horizontal="center" vertical="center" textRotation="90" wrapText="1"/>
    </xf>
    <xf numFmtId="2" fontId="12" fillId="4" borderId="12" xfId="0" applyNumberFormat="1" applyFont="1" applyFill="1" applyBorder="1" applyAlignment="1">
      <alignment horizontal="center" vertical="center" textRotation="90" wrapText="1"/>
    </xf>
    <xf numFmtId="2" fontId="12" fillId="4" borderId="12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66" fontId="17" fillId="4" borderId="36" xfId="0" applyNumberFormat="1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 wrapText="1"/>
    </xf>
    <xf numFmtId="166" fontId="17" fillId="4" borderId="7" xfId="0" applyNumberFormat="1" applyFont="1" applyFill="1" applyBorder="1" applyAlignment="1">
      <alignment horizontal="center" vertical="center" wrapText="1"/>
    </xf>
    <xf numFmtId="0" fontId="17" fillId="4" borderId="38" xfId="0" applyFont="1" applyFill="1" applyBorder="1" applyAlignment="1">
      <alignment horizontal="center" vertical="center"/>
    </xf>
    <xf numFmtId="167" fontId="17" fillId="4" borderId="36" xfId="0" applyNumberFormat="1" applyFont="1" applyFill="1" applyBorder="1" applyAlignment="1">
      <alignment horizontal="center" vertical="center" textRotation="90"/>
    </xf>
    <xf numFmtId="167" fontId="17" fillId="4" borderId="7" xfId="0" applyNumberFormat="1" applyFont="1" applyFill="1" applyBorder="1" applyAlignment="1">
      <alignment horizontal="center" vertical="center" textRotation="90"/>
    </xf>
    <xf numFmtId="167" fontId="17" fillId="4" borderId="38" xfId="0" applyNumberFormat="1" applyFont="1" applyFill="1" applyBorder="1" applyAlignment="1">
      <alignment horizontal="center" vertical="center"/>
    </xf>
    <xf numFmtId="0" fontId="12" fillId="4" borderId="36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/>
    </xf>
    <xf numFmtId="2" fontId="17" fillId="4" borderId="37" xfId="0" applyNumberFormat="1" applyFont="1" applyFill="1" applyBorder="1" applyAlignment="1">
      <alignment horizontal="center" vertical="center"/>
    </xf>
    <xf numFmtId="2" fontId="17" fillId="4" borderId="39" xfId="0" applyNumberFormat="1" applyFont="1" applyFill="1" applyBorder="1" applyAlignment="1">
      <alignment horizontal="center" vertical="center"/>
    </xf>
    <xf numFmtId="0" fontId="17" fillId="0" borderId="6" xfId="0" applyFont="1" applyBorder="1" applyAlignment="1">
      <alignment horizontal="center" vertical="top" wrapText="1"/>
    </xf>
    <xf numFmtId="0" fontId="17" fillId="7" borderId="6" xfId="0" applyFont="1" applyFill="1" applyBorder="1" applyAlignment="1">
      <alignment horizontal="center" vertical="top" wrapText="1"/>
    </xf>
    <xf numFmtId="170" fontId="12" fillId="6" borderId="40" xfId="0" applyNumberFormat="1" applyFont="1" applyFill="1" applyBorder="1" applyAlignment="1">
      <alignment horizontal="center" vertical="center" wrapText="1"/>
    </xf>
    <xf numFmtId="166" fontId="12" fillId="6" borderId="32" xfId="0" applyNumberFormat="1" applyFont="1" applyFill="1" applyBorder="1" applyAlignment="1">
      <alignment horizontal="center" vertical="center" wrapText="1"/>
    </xf>
    <xf numFmtId="167" fontId="12" fillId="6" borderId="32" xfId="0" applyNumberFormat="1" applyFont="1" applyFill="1" applyBorder="1" applyAlignment="1">
      <alignment horizontal="center" vertical="center" wrapText="1"/>
    </xf>
    <xf numFmtId="170" fontId="12" fillId="6" borderId="32" xfId="0" applyNumberFormat="1" applyFont="1" applyFill="1" applyBorder="1" applyAlignment="1">
      <alignment horizontal="center" vertical="center" wrapText="1"/>
    </xf>
    <xf numFmtId="165" fontId="12" fillId="6" borderId="32" xfId="0" applyNumberFormat="1" applyFont="1" applyFill="1" applyBorder="1" applyAlignment="1">
      <alignment horizontal="center" vertical="center" wrapText="1"/>
    </xf>
    <xf numFmtId="2" fontId="12" fillId="0" borderId="32" xfId="0" applyNumberFormat="1" applyFont="1" applyBorder="1" applyAlignment="1">
      <alignment horizontal="center" vertical="center"/>
    </xf>
    <xf numFmtId="2" fontId="12" fillId="0" borderId="32" xfId="0" applyNumberFormat="1" applyFont="1" applyBorder="1" applyAlignment="1">
      <alignment horizontal="center" vertical="center" wrapText="1"/>
    </xf>
    <xf numFmtId="4" fontId="12" fillId="6" borderId="32" xfId="0" applyNumberFormat="1" applyFont="1" applyFill="1" applyBorder="1" applyAlignment="1">
      <alignment vertical="center" wrapText="1"/>
    </xf>
    <xf numFmtId="2" fontId="12" fillId="0" borderId="25" xfId="0" applyNumberFormat="1" applyFont="1" applyBorder="1" applyAlignment="1">
      <alignment horizontal="center" vertical="center"/>
    </xf>
    <xf numFmtId="2" fontId="12" fillId="6" borderId="32" xfId="0" applyNumberFormat="1" applyFont="1" applyFill="1" applyBorder="1" applyAlignment="1">
      <alignment horizontal="center" vertical="center" wrapText="1"/>
    </xf>
    <xf numFmtId="3" fontId="12" fillId="6" borderId="32" xfId="0" applyNumberFormat="1" applyFont="1" applyFill="1" applyBorder="1" applyAlignment="1">
      <alignment horizontal="right" vertical="center"/>
    </xf>
    <xf numFmtId="2" fontId="12" fillId="6" borderId="41" xfId="0" applyNumberFormat="1" applyFont="1" applyFill="1" applyBorder="1" applyAlignment="1">
      <alignment vertical="center"/>
    </xf>
    <xf numFmtId="0" fontId="12" fillId="0" borderId="0" xfId="0" applyFont="1" applyAlignment="1">
      <alignment vertical="center" wrapText="1"/>
    </xf>
    <xf numFmtId="20" fontId="12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12" fillId="6" borderId="0" xfId="0" applyFont="1" applyFill="1" applyAlignment="1">
      <alignment vertical="top" wrapText="1"/>
    </xf>
    <xf numFmtId="1" fontId="12" fillId="6" borderId="32" xfId="0" applyNumberFormat="1" applyFont="1" applyFill="1" applyBorder="1" applyAlignment="1">
      <alignment horizontal="right" vertical="center"/>
    </xf>
    <xf numFmtId="0" fontId="12" fillId="0" borderId="0" xfId="0" applyFont="1" applyAlignment="1">
      <alignment vertical="top"/>
    </xf>
    <xf numFmtId="0" fontId="12" fillId="6" borderId="0" xfId="0" applyFont="1" applyFill="1" applyAlignment="1">
      <alignment vertical="top"/>
    </xf>
    <xf numFmtId="170" fontId="12" fillId="6" borderId="25" xfId="0" applyNumberFormat="1" applyFont="1" applyFill="1" applyBorder="1" applyAlignment="1">
      <alignment horizontal="center" vertical="center" wrapText="1"/>
    </xf>
    <xf numFmtId="165" fontId="12" fillId="6" borderId="25" xfId="0" applyNumberFormat="1" applyFont="1" applyFill="1" applyBorder="1" applyAlignment="1">
      <alignment horizontal="center" vertical="center" wrapText="1"/>
    </xf>
    <xf numFmtId="167" fontId="12" fillId="6" borderId="25" xfId="0" applyNumberFormat="1" applyFont="1" applyFill="1" applyBorder="1" applyAlignment="1">
      <alignment horizontal="center" vertical="center" wrapText="1"/>
    </xf>
    <xf numFmtId="4" fontId="12" fillId="6" borderId="25" xfId="0" applyNumberFormat="1" applyFont="1" applyFill="1" applyBorder="1" applyAlignment="1">
      <alignment vertical="center" wrapText="1"/>
    </xf>
    <xf numFmtId="2" fontId="12" fillId="6" borderId="25" xfId="0" applyNumberFormat="1" applyFont="1" applyFill="1" applyBorder="1" applyAlignment="1">
      <alignment horizontal="center" vertical="center" wrapText="1"/>
    </xf>
    <xf numFmtId="3" fontId="12" fillId="6" borderId="25" xfId="0" applyNumberFormat="1" applyFont="1" applyFill="1" applyBorder="1" applyAlignment="1">
      <alignment horizontal="right" vertical="center"/>
    </xf>
    <xf numFmtId="2" fontId="12" fillId="6" borderId="42" xfId="0" applyNumberFormat="1" applyFont="1" applyFill="1" applyBorder="1" applyAlignment="1">
      <alignment vertical="center"/>
    </xf>
    <xf numFmtId="0" fontId="23" fillId="0" borderId="0" xfId="0" applyFont="1" applyAlignment="1">
      <alignment horizontal="center" vertical="center" wrapText="1"/>
    </xf>
    <xf numFmtId="166" fontId="12" fillId="4" borderId="8" xfId="0" applyNumberFormat="1" applyFont="1" applyFill="1" applyBorder="1" applyAlignment="1">
      <alignment horizontal="left" vertical="center"/>
    </xf>
    <xf numFmtId="166" fontId="12" fillId="4" borderId="5" xfId="0" applyNumberFormat="1" applyFont="1" applyFill="1" applyBorder="1" applyAlignment="1">
      <alignment horizontal="center" vertical="center" wrapText="1"/>
    </xf>
    <xf numFmtId="165" fontId="12" fillId="4" borderId="5" xfId="0" applyNumberFormat="1" applyFont="1" applyFill="1" applyBorder="1" applyAlignment="1">
      <alignment horizontal="center" vertical="center" wrapText="1"/>
    </xf>
    <xf numFmtId="3" fontId="12" fillId="4" borderId="5" xfId="0" applyNumberFormat="1" applyFont="1" applyFill="1" applyBorder="1" applyAlignment="1">
      <alignment horizontal="right" vertical="center"/>
    </xf>
    <xf numFmtId="3" fontId="12" fillId="4" borderId="5" xfId="0" applyNumberFormat="1" applyFont="1" applyFill="1" applyBorder="1" applyAlignment="1">
      <alignment horizontal="center" vertical="center" wrapText="1"/>
    </xf>
    <xf numFmtId="3" fontId="12" fillId="4" borderId="5" xfId="0" applyNumberFormat="1" applyFont="1" applyFill="1" applyBorder="1" applyAlignment="1">
      <alignment horizontal="right" vertical="center" wrapText="1"/>
    </xf>
    <xf numFmtId="3" fontId="12" fillId="4" borderId="1" xfId="0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vertical="center"/>
    </xf>
    <xf numFmtId="0" fontId="0" fillId="0" borderId="54" xfId="0" applyBorder="1" applyAlignment="1">
      <alignment vertical="center"/>
    </xf>
    <xf numFmtId="0" fontId="0" fillId="0" borderId="5" xfId="0" applyBorder="1" applyAlignment="1">
      <alignment vertical="center"/>
    </xf>
    <xf numFmtId="167" fontId="0" fillId="0" borderId="5" xfId="0" applyNumberFormat="1" applyBorder="1" applyAlignment="1">
      <alignment horizontal="center" vertical="center"/>
    </xf>
    <xf numFmtId="167" fontId="0" fillId="0" borderId="5" xfId="0" applyNumberFormat="1" applyBorder="1" applyAlignment="1">
      <alignment vertical="center"/>
    </xf>
    <xf numFmtId="2" fontId="0" fillId="0" borderId="5" xfId="0" applyNumberFormat="1" applyBorder="1" applyAlignment="1">
      <alignment vertical="center"/>
    </xf>
    <xf numFmtId="0" fontId="12" fillId="0" borderId="0" xfId="0" applyFont="1" applyAlignment="1">
      <alignment vertical="center"/>
    </xf>
    <xf numFmtId="0" fontId="8" fillId="3" borderId="21" xfId="0" applyFont="1" applyFill="1" applyBorder="1" applyAlignment="1">
      <alignment vertical="center"/>
    </xf>
    <xf numFmtId="0" fontId="13" fillId="3" borderId="19" xfId="0" applyFont="1" applyFill="1" applyBorder="1" applyAlignment="1">
      <alignment vertical="center"/>
    </xf>
    <xf numFmtId="0" fontId="28" fillId="3" borderId="0" xfId="0" applyFont="1" applyFill="1" applyAlignment="1">
      <alignment horizontal="right" vertical="center"/>
    </xf>
    <xf numFmtId="0" fontId="12" fillId="0" borderId="34" xfId="0" applyFont="1" applyBorder="1" applyAlignment="1">
      <alignment vertical="center"/>
    </xf>
    <xf numFmtId="0" fontId="13" fillId="0" borderId="26" xfId="0" applyFont="1" applyBorder="1" applyAlignment="1">
      <alignment vertical="center"/>
    </xf>
    <xf numFmtId="0" fontId="12" fillId="0" borderId="26" xfId="0" applyFont="1" applyBorder="1" applyAlignment="1">
      <alignment vertical="center"/>
    </xf>
    <xf numFmtId="0" fontId="12" fillId="0" borderId="3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67" fontId="12" fillId="0" borderId="0" xfId="0" applyNumberFormat="1" applyFont="1" applyAlignment="1">
      <alignment horizontal="center" vertical="center"/>
    </xf>
    <xf numFmtId="167" fontId="12" fillId="0" borderId="0" xfId="0" applyNumberFormat="1" applyFont="1" applyAlignment="1">
      <alignment vertical="center"/>
    </xf>
    <xf numFmtId="2" fontId="12" fillId="0" borderId="0" xfId="0" applyNumberFormat="1" applyFont="1" applyAlignment="1">
      <alignment vertical="center"/>
    </xf>
    <xf numFmtId="0" fontId="12" fillId="0" borderId="35" xfId="0" applyFont="1" applyBorder="1" applyAlignment="1">
      <alignment vertical="center"/>
    </xf>
    <xf numFmtId="0" fontId="8" fillId="3" borderId="34" xfId="2" applyFont="1" applyFill="1" applyBorder="1" applyAlignment="1">
      <alignment vertical="center"/>
    </xf>
    <xf numFmtId="0" fontId="13" fillId="3" borderId="0" xfId="2" applyFont="1" applyFill="1" applyAlignment="1">
      <alignment vertical="center"/>
    </xf>
    <xf numFmtId="0" fontId="12" fillId="0" borderId="34" xfId="2" applyFont="1" applyBorder="1" applyAlignment="1">
      <alignment vertical="center"/>
    </xf>
    <xf numFmtId="0" fontId="12" fillId="0" borderId="0" xfId="2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2" applyFont="1" applyAlignment="1">
      <alignment horizontal="left" vertical="center"/>
    </xf>
    <xf numFmtId="0" fontId="8" fillId="3" borderId="34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left" vertical="center"/>
    </xf>
    <xf numFmtId="0" fontId="13" fillId="3" borderId="0" xfId="0" applyFont="1" applyFill="1" applyAlignment="1">
      <alignment horizontal="right" vertical="center"/>
    </xf>
    <xf numFmtId="0" fontId="12" fillId="3" borderId="0" xfId="0" applyFont="1" applyFill="1" applyAlignment="1">
      <alignment horizontal="right" vertical="center"/>
    </xf>
    <xf numFmtId="169" fontId="12" fillId="3" borderId="0" xfId="0" applyNumberFormat="1" applyFont="1" applyFill="1" applyAlignment="1">
      <alignment horizontal="right" vertical="center" indent="1"/>
    </xf>
    <xf numFmtId="3" fontId="12" fillId="3" borderId="0" xfId="0" applyNumberFormat="1" applyFont="1" applyFill="1" applyAlignment="1">
      <alignment horizontal="right" vertical="center"/>
    </xf>
    <xf numFmtId="0" fontId="12" fillId="3" borderId="0" xfId="0" applyFont="1" applyFill="1" applyAlignment="1">
      <alignment vertical="center"/>
    </xf>
    <xf numFmtId="0" fontId="28" fillId="3" borderId="0" xfId="0" applyFont="1" applyFill="1" applyAlignment="1">
      <alignment vertical="center"/>
    </xf>
    <xf numFmtId="0" fontId="12" fillId="3" borderId="0" xfId="0" applyFont="1" applyFill="1" applyAlignment="1">
      <alignment horizontal="left" vertical="center"/>
    </xf>
    <xf numFmtId="0" fontId="9" fillId="0" borderId="0" xfId="0" applyFont="1" applyAlignment="1">
      <alignment horizontal="right" vertical="center"/>
    </xf>
    <xf numFmtId="168" fontId="9" fillId="6" borderId="0" xfId="0" applyNumberFormat="1" applyFont="1" applyFill="1" applyAlignment="1">
      <alignment vertical="center"/>
    </xf>
    <xf numFmtId="0" fontId="13" fillId="0" borderId="0" xfId="0" applyFont="1" applyAlignment="1">
      <alignment horizontal="right" vertical="center"/>
    </xf>
    <xf numFmtId="169" fontId="12" fillId="0" borderId="0" xfId="0" applyNumberFormat="1" applyFont="1" applyAlignment="1">
      <alignment horizontal="right" vertical="center" indent="1"/>
    </xf>
    <xf numFmtId="3" fontId="12" fillId="0" borderId="0" xfId="0" applyNumberFormat="1" applyFont="1" applyAlignment="1">
      <alignment horizontal="left" vertical="center"/>
    </xf>
    <xf numFmtId="0" fontId="29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4" fontId="12" fillId="0" borderId="0" xfId="0" applyNumberFormat="1" applyFont="1" applyAlignment="1">
      <alignment vertical="center"/>
    </xf>
    <xf numFmtId="0" fontId="29" fillId="0" borderId="0" xfId="0" applyFont="1" applyAlignment="1">
      <alignment horizontal="right" vertical="center"/>
    </xf>
    <xf numFmtId="0" fontId="14" fillId="0" borderId="0" xfId="0" applyFont="1" applyAlignment="1">
      <alignment vertical="center"/>
    </xf>
    <xf numFmtId="168" fontId="12" fillId="6" borderId="6" xfId="0" applyNumberFormat="1" applyFont="1" applyFill="1" applyBorder="1" applyAlignment="1">
      <alignment vertical="center"/>
    </xf>
    <xf numFmtId="2" fontId="14" fillId="0" borderId="0" xfId="0" applyNumberFormat="1" applyFont="1" applyAlignment="1">
      <alignment vertical="center"/>
    </xf>
    <xf numFmtId="0" fontId="12" fillId="0" borderId="34" xfId="0" applyFont="1" applyBorder="1" applyAlignment="1">
      <alignment horizontal="left" vertical="top" indent="1"/>
    </xf>
    <xf numFmtId="168" fontId="14" fillId="0" borderId="0" xfId="0" applyNumberFormat="1" applyFont="1" applyAlignment="1">
      <alignment vertical="center"/>
    </xf>
    <xf numFmtId="0" fontId="12" fillId="0" borderId="0" xfId="0" applyFont="1" applyAlignment="1">
      <alignment horizontal="right" vertical="center" wrapText="1"/>
    </xf>
    <xf numFmtId="0" fontId="16" fillId="3" borderId="15" xfId="0" applyFont="1" applyFill="1" applyBorder="1" applyAlignment="1">
      <alignment vertical="center"/>
    </xf>
    <xf numFmtId="0" fontId="16" fillId="3" borderId="2" xfId="0" applyFont="1" applyFill="1" applyBorder="1" applyAlignment="1">
      <alignment vertical="center"/>
    </xf>
    <xf numFmtId="0" fontId="13" fillId="3" borderId="2" xfId="0" applyFont="1" applyFill="1" applyBorder="1" applyAlignment="1">
      <alignment vertical="center"/>
    </xf>
    <xf numFmtId="0" fontId="12" fillId="0" borderId="0" xfId="0" applyFont="1"/>
    <xf numFmtId="167" fontId="12" fillId="0" borderId="0" xfId="0" applyNumberFormat="1" applyFont="1" applyAlignment="1">
      <alignment horizontal="center"/>
    </xf>
    <xf numFmtId="167" fontId="12" fillId="0" borderId="0" xfId="0" applyNumberFormat="1" applyFont="1"/>
    <xf numFmtId="2" fontId="12" fillId="0" borderId="0" xfId="0" applyNumberFormat="1" applyFont="1"/>
    <xf numFmtId="167" fontId="0" fillId="0" borderId="0" xfId="0" applyNumberFormat="1" applyAlignment="1">
      <alignment horizontal="center"/>
    </xf>
    <xf numFmtId="167" fontId="0" fillId="0" borderId="0" xfId="0" applyNumberFormat="1"/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37" fillId="0" borderId="0" xfId="0" applyFont="1"/>
    <xf numFmtId="0" fontId="37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2" fillId="0" borderId="0" xfId="3" applyFont="1" applyAlignment="1">
      <alignment horizontal="center" wrapText="1"/>
    </xf>
    <xf numFmtId="0" fontId="20" fillId="0" borderId="0" xfId="1" applyAlignment="1" applyProtection="1">
      <alignment horizontal="center" wrapText="1"/>
    </xf>
    <xf numFmtId="0" fontId="2" fillId="2" borderId="0" xfId="3" applyFont="1" applyFill="1" applyAlignment="1">
      <alignment horizontal="center" vertical="center" wrapText="1"/>
    </xf>
    <xf numFmtId="0" fontId="2" fillId="2" borderId="0" xfId="3" applyFont="1" applyFill="1" applyAlignment="1">
      <alignment horizontal="center" vertical="center"/>
    </xf>
    <xf numFmtId="0" fontId="2" fillId="2" borderId="0" xfId="3" applyFont="1" applyFill="1" applyAlignment="1">
      <alignment horizontal="center" vertical="top" wrapText="1"/>
    </xf>
    <xf numFmtId="0" fontId="40" fillId="0" borderId="26" xfId="3" applyFont="1" applyBorder="1" applyAlignment="1">
      <alignment horizontal="center"/>
    </xf>
    <xf numFmtId="0" fontId="2" fillId="0" borderId="0" xfId="3" applyFont="1" applyAlignment="1">
      <alignment horizontal="center"/>
    </xf>
    <xf numFmtId="0" fontId="2" fillId="0" borderId="0" xfId="3" applyFont="1"/>
    <xf numFmtId="0" fontId="24" fillId="0" borderId="55" xfId="0" applyFont="1" applyBorder="1" applyAlignment="1">
      <alignment horizontal="left" vertical="top" wrapText="1"/>
    </xf>
    <xf numFmtId="1" fontId="41" fillId="0" borderId="55" xfId="0" applyNumberFormat="1" applyFont="1" applyBorder="1" applyAlignment="1">
      <alignment horizontal="center" vertical="top" shrinkToFit="1"/>
    </xf>
    <xf numFmtId="1" fontId="41" fillId="0" borderId="55" xfId="0" applyNumberFormat="1" applyFont="1" applyBorder="1" applyAlignment="1">
      <alignment horizontal="right" vertical="top" indent="4" shrinkToFit="1"/>
    </xf>
    <xf numFmtId="1" fontId="41" fillId="0" borderId="55" xfId="0" applyNumberFormat="1" applyFont="1" applyBorder="1" applyAlignment="1">
      <alignment horizontal="right" vertical="top" indent="3" shrinkToFit="1"/>
    </xf>
    <xf numFmtId="1" fontId="42" fillId="0" borderId="55" xfId="0" applyNumberFormat="1" applyFont="1" applyBorder="1" applyAlignment="1">
      <alignment horizontal="center" vertical="top" shrinkToFit="1"/>
    </xf>
    <xf numFmtId="1" fontId="42" fillId="0" borderId="55" xfId="0" applyNumberFormat="1" applyFont="1" applyBorder="1" applyAlignment="1">
      <alignment horizontal="right" vertical="top" indent="3" shrinkToFit="1"/>
    </xf>
    <xf numFmtId="0" fontId="16" fillId="0" borderId="55" xfId="0" applyFont="1" applyBorder="1" applyAlignment="1">
      <alignment horizontal="left" vertical="top" wrapText="1"/>
    </xf>
    <xf numFmtId="0" fontId="0" fillId="0" borderId="56" xfId="0" applyBorder="1" applyAlignment="1">
      <alignment horizontal="left" wrapText="1"/>
    </xf>
    <xf numFmtId="0" fontId="0" fillId="0" borderId="55" xfId="0" applyBorder="1" applyAlignment="1">
      <alignment horizontal="left" wrapText="1"/>
    </xf>
    <xf numFmtId="1" fontId="42" fillId="0" borderId="55" xfId="0" applyNumberFormat="1" applyFont="1" applyBorder="1" applyAlignment="1">
      <alignment horizontal="right" vertical="top" indent="4" shrinkToFit="1"/>
    </xf>
    <xf numFmtId="0" fontId="0" fillId="0" borderId="55" xfId="0" applyBorder="1" applyAlignment="1">
      <alignment horizontal="left" vertical="top" wrapText="1"/>
    </xf>
    <xf numFmtId="0" fontId="0" fillId="0" borderId="55" xfId="0" applyBorder="1" applyAlignment="1">
      <alignment horizontal="left" vertical="center" wrapText="1"/>
    </xf>
    <xf numFmtId="0" fontId="19" fillId="0" borderId="0" xfId="3" applyFont="1"/>
    <xf numFmtId="0" fontId="27" fillId="0" borderId="0" xfId="3" applyFont="1"/>
    <xf numFmtId="0" fontId="18" fillId="8" borderId="0" xfId="3" applyFill="1"/>
    <xf numFmtId="0" fontId="2" fillId="4" borderId="0" xfId="3" applyFont="1" applyFill="1"/>
    <xf numFmtId="0" fontId="2" fillId="4" borderId="0" xfId="3" applyFont="1" applyFill="1" applyAlignment="1">
      <alignment horizontal="left" vertical="top" wrapText="1"/>
    </xf>
    <xf numFmtId="0" fontId="2" fillId="6" borderId="0" xfId="3" applyFont="1" applyFill="1" applyAlignment="1">
      <alignment horizontal="left"/>
    </xf>
    <xf numFmtId="0" fontId="18" fillId="0" borderId="0" xfId="3" applyAlignment="1">
      <alignment horizontal="left"/>
    </xf>
    <xf numFmtId="0" fontId="19" fillId="2" borderId="0" xfId="3" applyFont="1" applyFill="1" applyAlignment="1">
      <alignment vertical="top" wrapText="1"/>
    </xf>
    <xf numFmtId="0" fontId="18" fillId="0" borderId="0" xfId="3" applyAlignment="1">
      <alignment vertical="top" wrapText="1"/>
    </xf>
    <xf numFmtId="0" fontId="2" fillId="0" borderId="0" xfId="3" applyFont="1" applyAlignment="1">
      <alignment vertical="top" wrapText="1"/>
    </xf>
    <xf numFmtId="0" fontId="6" fillId="0" borderId="0" xfId="3" applyFont="1" applyAlignment="1">
      <alignment vertical="top" wrapText="1"/>
    </xf>
    <xf numFmtId="0" fontId="3" fillId="0" borderId="0" xfId="3" applyFont="1" applyAlignment="1">
      <alignment vertical="top" wrapText="1"/>
    </xf>
    <xf numFmtId="0" fontId="2" fillId="0" borderId="0" xfId="3" applyFont="1" applyAlignment="1">
      <alignment horizontal="left" vertical="top" wrapText="1"/>
    </xf>
    <xf numFmtId="0" fontId="5" fillId="0" borderId="0" xfId="3" applyFont="1" applyAlignment="1">
      <alignment vertical="top" wrapText="1"/>
    </xf>
    <xf numFmtId="0" fontId="4" fillId="0" borderId="0" xfId="3" applyFont="1" applyAlignment="1">
      <alignment vertical="top" wrapText="1"/>
    </xf>
    <xf numFmtId="0" fontId="27" fillId="0" borderId="26" xfId="3" applyFont="1" applyBorder="1" applyAlignment="1">
      <alignment vertical="top"/>
    </xf>
    <xf numFmtId="0" fontId="18" fillId="0" borderId="0" xfId="3" applyAlignment="1">
      <alignment vertical="top"/>
    </xf>
    <xf numFmtId="0" fontId="18" fillId="9" borderId="0" xfId="3" applyFill="1"/>
    <xf numFmtId="0" fontId="21" fillId="0" borderId="0" xfId="0" applyFont="1" applyAlignment="1">
      <alignment horizontal="center" vertical="center" wrapText="1"/>
    </xf>
    <xf numFmtId="0" fontId="8" fillId="6" borderId="24" xfId="0" applyFont="1" applyFill="1" applyBorder="1" applyAlignment="1" applyProtection="1">
      <alignment horizontal="left" vertical="center"/>
      <protection locked="0"/>
    </xf>
    <xf numFmtId="0" fontId="8" fillId="6" borderId="30" xfId="0" applyFont="1" applyFill="1" applyBorder="1" applyAlignment="1" applyProtection="1">
      <alignment horizontal="left" vertical="center"/>
      <protection locked="0"/>
    </xf>
    <xf numFmtId="0" fontId="8" fillId="6" borderId="31" xfId="0" applyFont="1" applyFill="1" applyBorder="1" applyAlignment="1" applyProtection="1">
      <alignment horizontal="left" vertical="center"/>
      <protection locked="0"/>
    </xf>
    <xf numFmtId="0" fontId="8" fillId="6" borderId="49" xfId="0" applyFont="1" applyFill="1" applyBorder="1" applyAlignment="1" applyProtection="1">
      <alignment horizontal="left" vertical="center"/>
      <protection locked="0"/>
    </xf>
    <xf numFmtId="0" fontId="8" fillId="6" borderId="50" xfId="0" applyFont="1" applyFill="1" applyBorder="1" applyAlignment="1" applyProtection="1">
      <alignment horizontal="left" vertical="center"/>
      <protection locked="0"/>
    </xf>
    <xf numFmtId="0" fontId="8" fillId="6" borderId="51" xfId="0" applyFont="1" applyFill="1" applyBorder="1" applyAlignment="1" applyProtection="1">
      <alignment horizontal="left" vertical="center"/>
      <protection locked="0"/>
    </xf>
    <xf numFmtId="0" fontId="28" fillId="3" borderId="19" xfId="0" applyFont="1" applyFill="1" applyBorder="1" applyAlignment="1" applyProtection="1">
      <alignment horizontal="left" vertical="center"/>
      <protection locked="0"/>
    </xf>
    <xf numFmtId="168" fontId="16" fillId="3" borderId="8" xfId="0" applyNumberFormat="1" applyFont="1" applyFill="1" applyBorder="1" applyAlignment="1">
      <alignment horizontal="center" vertical="center"/>
    </xf>
    <xf numFmtId="168" fontId="16" fillId="3" borderId="1" xfId="0" applyNumberFormat="1" applyFont="1" applyFill="1" applyBorder="1" applyAlignment="1">
      <alignment horizontal="center" vertical="center"/>
    </xf>
    <xf numFmtId="0" fontId="17" fillId="0" borderId="34" xfId="0" applyFont="1" applyBorder="1" applyAlignment="1">
      <alignment horizontal="left" vertical="top" wrapText="1" indent="1"/>
    </xf>
    <xf numFmtId="0" fontId="17" fillId="0" borderId="0" xfId="0" applyFont="1" applyAlignment="1">
      <alignment horizontal="left" vertical="top" indent="1"/>
    </xf>
    <xf numFmtId="0" fontId="17" fillId="0" borderId="34" xfId="0" applyFont="1" applyBorder="1" applyAlignment="1">
      <alignment horizontal="left" vertical="top" indent="1"/>
    </xf>
    <xf numFmtId="3" fontId="28" fillId="3" borderId="0" xfId="0" applyNumberFormat="1" applyFont="1" applyFill="1" applyAlignment="1" applyProtection="1">
      <alignment horizontal="left" vertical="center"/>
      <protection locked="0"/>
    </xf>
    <xf numFmtId="3" fontId="29" fillId="0" borderId="0" xfId="0" applyNumberFormat="1" applyFont="1" applyAlignment="1" applyProtection="1">
      <alignment horizontal="left" vertical="center"/>
      <protection locked="0"/>
    </xf>
    <xf numFmtId="0" fontId="28" fillId="3" borderId="0" xfId="2" applyFont="1" applyFill="1" applyAlignment="1" applyProtection="1">
      <alignment horizontal="left" vertical="center"/>
      <protection locked="0"/>
    </xf>
    <xf numFmtId="0" fontId="12" fillId="0" borderId="6" xfId="0" applyFont="1" applyBorder="1" applyAlignment="1">
      <alignment horizontal="center" vertical="center" wrapText="1"/>
    </xf>
    <xf numFmtId="0" fontId="38" fillId="0" borderId="0" xfId="1" applyFont="1" applyFill="1" applyAlignment="1" applyProtection="1">
      <alignment horizontal="center" vertical="top" wrapText="1"/>
      <protection locked="0"/>
    </xf>
    <xf numFmtId="0" fontId="39" fillId="0" borderId="0" xfId="1" applyFont="1" applyFill="1" applyAlignment="1" applyProtection="1">
      <alignment horizontal="center" vertical="top" wrapText="1"/>
      <protection locked="0"/>
    </xf>
    <xf numFmtId="0" fontId="21" fillId="0" borderId="0" xfId="0" applyFont="1" applyAlignment="1">
      <alignment horizontal="left" vertical="top" wrapText="1"/>
    </xf>
    <xf numFmtId="0" fontId="21" fillId="0" borderId="35" xfId="0" applyFont="1" applyBorder="1" applyAlignment="1">
      <alignment horizontal="left" vertical="top" wrapText="1"/>
    </xf>
    <xf numFmtId="0" fontId="25" fillId="0" borderId="0" xfId="0" applyFont="1" applyAlignment="1" applyProtection="1">
      <alignment horizontal="left"/>
      <protection locked="0"/>
    </xf>
    <xf numFmtId="0" fontId="22" fillId="3" borderId="28" xfId="0" applyFont="1" applyFill="1" applyBorder="1" applyAlignment="1">
      <alignment horizontal="center" vertical="center"/>
    </xf>
    <xf numFmtId="0" fontId="22" fillId="3" borderId="39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/>
    </xf>
    <xf numFmtId="0" fontId="22" fillId="3" borderId="33" xfId="0" applyFont="1" applyFill="1" applyBorder="1" applyAlignment="1">
      <alignment horizontal="center" vertical="center"/>
    </xf>
    <xf numFmtId="0" fontId="22" fillId="3" borderId="26" xfId="0" applyFont="1" applyFill="1" applyBorder="1" applyAlignment="1">
      <alignment horizontal="center" vertical="center"/>
    </xf>
    <xf numFmtId="0" fontId="22" fillId="3" borderId="29" xfId="0" applyFont="1" applyFill="1" applyBorder="1" applyAlignment="1">
      <alignment horizontal="center" vertical="center"/>
    </xf>
    <xf numFmtId="0" fontId="13" fillId="3" borderId="21" xfId="0" applyFont="1" applyFill="1" applyBorder="1" applyAlignment="1">
      <alignment horizontal="left" vertical="center"/>
    </xf>
    <xf numFmtId="0" fontId="13" fillId="3" borderId="19" xfId="0" applyFont="1" applyFill="1" applyBorder="1" applyAlignment="1">
      <alignment horizontal="left" vertical="center"/>
    </xf>
    <xf numFmtId="0" fontId="13" fillId="3" borderId="20" xfId="0" applyFont="1" applyFill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167" fontId="12" fillId="4" borderId="9" xfId="0" applyNumberFormat="1" applyFont="1" applyFill="1" applyBorder="1" applyAlignment="1">
      <alignment horizontal="center" vertical="center" wrapText="1"/>
    </xf>
    <xf numFmtId="167" fontId="12" fillId="4" borderId="10" xfId="0" applyNumberFormat="1" applyFont="1" applyFill="1" applyBorder="1" applyAlignment="1">
      <alignment horizontal="center" vertical="center" wrapText="1"/>
    </xf>
    <xf numFmtId="0" fontId="13" fillId="3" borderId="21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34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3" fillId="3" borderId="21" xfId="0" applyFont="1" applyFill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 vertical="center"/>
    </xf>
    <xf numFmtId="0" fontId="13" fillId="3" borderId="34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3" fillId="3" borderId="35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8" fillId="3" borderId="52" xfId="0" applyFont="1" applyFill="1" applyBorder="1" applyAlignment="1">
      <alignment horizontal="right" vertical="center" indent="2"/>
    </xf>
    <xf numFmtId="0" fontId="8" fillId="3" borderId="48" xfId="0" applyFont="1" applyFill="1" applyBorder="1" applyAlignment="1">
      <alignment horizontal="right" vertical="center" indent="2"/>
    </xf>
    <xf numFmtId="0" fontId="8" fillId="3" borderId="16" xfId="0" applyFont="1" applyFill="1" applyBorder="1" applyAlignment="1">
      <alignment horizontal="right" vertical="center" indent="2"/>
    </xf>
    <xf numFmtId="0" fontId="8" fillId="3" borderId="23" xfId="0" applyFont="1" applyFill="1" applyBorder="1" applyAlignment="1">
      <alignment horizontal="right" vertical="center" indent="2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4" borderId="27" xfId="0" applyFont="1" applyFill="1" applyBorder="1" applyAlignment="1">
      <alignment horizontal="center" vertical="center" wrapText="1"/>
    </xf>
    <xf numFmtId="0" fontId="17" fillId="3" borderId="38" xfId="0" applyFont="1" applyFill="1" applyBorder="1" applyAlignment="1">
      <alignment horizontal="center" vertical="center"/>
    </xf>
    <xf numFmtId="0" fontId="17" fillId="3" borderId="52" xfId="0" applyFont="1" applyFill="1" applyBorder="1" applyAlignment="1">
      <alignment horizontal="center" vertical="center"/>
    </xf>
    <xf numFmtId="0" fontId="17" fillId="3" borderId="39" xfId="0" applyFont="1" applyFill="1" applyBorder="1" applyAlignment="1">
      <alignment horizontal="center" vertical="center"/>
    </xf>
    <xf numFmtId="0" fontId="29" fillId="0" borderId="0" xfId="0" applyFont="1" applyAlignment="1" applyProtection="1">
      <alignment horizontal="left" vertical="center"/>
      <protection locked="0"/>
    </xf>
    <xf numFmtId="168" fontId="8" fillId="3" borderId="8" xfId="4" applyNumberFormat="1" applyFont="1" applyFill="1" applyBorder="1" applyAlignment="1" applyProtection="1">
      <alignment horizontal="center" vertical="center"/>
    </xf>
    <xf numFmtId="168" fontId="8" fillId="3" borderId="1" xfId="4" applyNumberFormat="1" applyFont="1" applyFill="1" applyBorder="1" applyAlignment="1" applyProtection="1">
      <alignment horizontal="center" vertical="center"/>
    </xf>
    <xf numFmtId="0" fontId="8" fillId="6" borderId="24" xfId="0" applyFont="1" applyFill="1" applyBorder="1" applyAlignment="1">
      <alignment horizontal="left" vertical="center"/>
    </xf>
    <xf numFmtId="0" fontId="8" fillId="6" borderId="30" xfId="0" applyFont="1" applyFill="1" applyBorder="1" applyAlignment="1">
      <alignment horizontal="left" vertical="center"/>
    </xf>
    <xf numFmtId="0" fontId="8" fillId="6" borderId="31" xfId="0" applyFont="1" applyFill="1" applyBorder="1" applyAlignment="1">
      <alignment horizontal="left" vertical="center"/>
    </xf>
    <xf numFmtId="0" fontId="8" fillId="6" borderId="49" xfId="0" applyFont="1" applyFill="1" applyBorder="1" applyAlignment="1">
      <alignment horizontal="left" vertical="center"/>
    </xf>
    <xf numFmtId="0" fontId="8" fillId="6" borderId="50" xfId="0" applyFont="1" applyFill="1" applyBorder="1" applyAlignment="1">
      <alignment horizontal="left" vertical="center"/>
    </xf>
    <xf numFmtId="0" fontId="8" fillId="6" borderId="51" xfId="0" applyFont="1" applyFill="1" applyBorder="1" applyAlignment="1">
      <alignment horizontal="left" vertical="center"/>
    </xf>
    <xf numFmtId="0" fontId="38" fillId="0" borderId="0" xfId="1" applyFont="1" applyFill="1" applyAlignment="1" applyProtection="1">
      <alignment horizontal="center" wrapText="1"/>
      <protection locked="0"/>
    </xf>
    <xf numFmtId="0" fontId="29" fillId="0" borderId="0" xfId="0" applyFont="1" applyAlignment="1">
      <alignment horizontal="left" vertical="center"/>
    </xf>
    <xf numFmtId="0" fontId="36" fillId="0" borderId="0" xfId="0" applyFont="1" applyAlignment="1">
      <alignment horizontal="center" vertical="center" wrapText="1"/>
    </xf>
    <xf numFmtId="0" fontId="36" fillId="0" borderId="35" xfId="0" applyFont="1" applyBorder="1" applyAlignment="1">
      <alignment horizontal="center" vertical="center" wrapText="1"/>
    </xf>
    <xf numFmtId="0" fontId="28" fillId="3" borderId="0" xfId="2" applyFont="1" applyFill="1" applyAlignment="1">
      <alignment horizontal="left" vertical="center"/>
    </xf>
    <xf numFmtId="3" fontId="28" fillId="3" borderId="0" xfId="0" applyNumberFormat="1" applyFont="1" applyFill="1" applyAlignment="1">
      <alignment horizontal="left" vertical="center"/>
    </xf>
    <xf numFmtId="3" fontId="29" fillId="0" borderId="0" xfId="0" applyNumberFormat="1" applyFont="1" applyAlignment="1">
      <alignment horizontal="left" vertical="center"/>
    </xf>
    <xf numFmtId="0" fontId="28" fillId="3" borderId="19" xfId="0" applyFont="1" applyFill="1" applyBorder="1" applyAlignment="1">
      <alignment horizontal="left" vertical="center"/>
    </xf>
    <xf numFmtId="0" fontId="19" fillId="0" borderId="0" xfId="3" applyFont="1" applyAlignment="1">
      <alignment horizontal="center"/>
    </xf>
    <xf numFmtId="0" fontId="19" fillId="0" borderId="57" xfId="3" applyFont="1" applyBorder="1" applyAlignment="1">
      <alignment horizontal="center" vertical="top"/>
    </xf>
    <xf numFmtId="0" fontId="19" fillId="4" borderId="0" xfId="3" applyFont="1" applyFill="1" applyAlignment="1">
      <alignment horizontal="center" vertical="center"/>
    </xf>
    <xf numFmtId="168" fontId="28" fillId="3" borderId="19" xfId="4" applyNumberFormat="1" applyFont="1" applyFill="1" applyBorder="1" applyAlignment="1" applyProtection="1">
      <alignment vertical="center"/>
      <protection locked="0"/>
    </xf>
    <xf numFmtId="0" fontId="28" fillId="3" borderId="0" xfId="0" applyFont="1" applyFill="1" applyAlignment="1" applyProtection="1">
      <alignment vertical="center"/>
      <protection locked="0"/>
    </xf>
    <xf numFmtId="0" fontId="29" fillId="0" borderId="0" xfId="0" applyFont="1" applyAlignment="1" applyProtection="1">
      <alignment vertical="center"/>
      <protection locked="0"/>
    </xf>
  </cellXfs>
  <cellStyles count="5">
    <cellStyle name="Link" xfId="1" builtinId="8"/>
    <cellStyle name="Standard" xfId="0" builtinId="0"/>
    <cellStyle name="Standard 2" xfId="2" xr:uid="{00000000-0005-0000-0000-000002000000}"/>
    <cellStyle name="Standard 2 2" xfId="3" xr:uid="{00000000-0005-0000-0000-000003000000}"/>
    <cellStyle name="Währung 2" xfId="4" xr:uid="{00000000-0005-0000-0000-000005000000}"/>
  </cellStyles>
  <dxfs count="71">
    <dxf>
      <fill>
        <patternFill>
          <bgColor theme="9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auto="1"/>
      </font>
      <fill>
        <patternFill patternType="solid"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vertical/>
        <horizontal/>
      </border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5" tint="0.59996337778862885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border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>
          <bgColor theme="5" tint="0.79998168889431442"/>
        </patternFill>
      </fill>
    </dxf>
    <dxf>
      <font>
        <color auto="1"/>
      </font>
      <fill>
        <patternFill patternType="solid"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vertical/>
        <horizontal/>
      </border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</dxf>
    <dxf>
      <font>
        <color auto="1"/>
      </font>
      <fill>
        <patternFill>
          <bgColor theme="8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5" tint="0.59996337778862885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ill>
        <patternFill>
          <bgColor theme="5" tint="0.79998168889431442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auto="1"/>
      </font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border>
        <bottom style="thin">
          <color auto="1"/>
        </bottom>
        <vertical/>
        <horizontal/>
      </border>
    </dxf>
    <dxf>
      <font>
        <b val="0"/>
        <i val="0"/>
        <color rgb="FFFF0000"/>
      </font>
      <fill>
        <patternFill>
          <bgColor theme="5" tint="0.79998168889431442"/>
        </patternFill>
      </fill>
    </dxf>
    <dxf>
      <font>
        <b val="0"/>
      </font>
      <alignment horizontal="left" textRotation="0" indent="0" justifyLastLine="0" shrinkToFit="0" readingOrder="0"/>
      <protection locked="1" hidden="0"/>
    </dxf>
    <dxf>
      <font>
        <b val="0"/>
      </font>
      <alignment horizontal="center" textRotation="0" indent="0" justifyLastLine="0" shrinkToFit="0" readingOrder="0"/>
      <protection locked="1" hidden="0"/>
    </dxf>
    <dxf>
      <font>
        <b val="0"/>
      </font>
      <alignment horizontal="center" textRotation="0" indent="0" justifyLastLine="0" shrinkToFit="0" readingOrder="0"/>
      <protection locked="1" hidden="0"/>
    </dxf>
    <dxf>
      <font>
        <b val="0"/>
      </font>
      <alignment horizontal="center" textRotation="0" indent="0" justifyLastLine="0" shrinkToFit="0" readingOrder="0"/>
      <protection locked="1" hidden="0"/>
    </dxf>
    <dxf>
      <font>
        <b val="0"/>
      </font>
      <alignment horizontal="center" textRotation="0" indent="0" justifyLastLine="0" shrinkToFit="0" readingOrder="0"/>
      <protection locked="1" hidden="0"/>
    </dxf>
    <dxf>
      <alignment horizontal="center" textRotation="0" indent="0" justifyLastLine="0" shrinkToFit="0" readingOrder="0"/>
      <protection locked="1" hidden="0"/>
    </dxf>
    <dxf>
      <font>
        <b val="0"/>
      </font>
      <alignment horizontal="center" textRotation="0" indent="0" justifyLastLine="0" shrinkToFit="0" readingOrder="0"/>
      <protection locked="1" hidden="0"/>
    </dxf>
    <dxf>
      <font>
        <b val="0"/>
      </font>
      <alignment horizontal="center" textRotation="0" indent="0" justifyLastLine="0" shrinkToFit="0" readingOrder="0"/>
      <protection locked="1" hidden="0"/>
    </dxf>
    <dxf>
      <font>
        <b val="0"/>
      </font>
      <alignment horizontal="center" textRotation="0" indent="0" justifyLastLine="0" shrinkToFit="0" readingOrder="0"/>
      <protection locked="1" hidden="0"/>
    </dxf>
    <dxf>
      <alignment vertical="top" textRotation="0" indent="0" justifyLastLine="0" shrinkToFit="0" readingOrder="0"/>
      <protection locked="1" hidden="0"/>
    </dxf>
    <dxf>
      <protection locked="1" hidden="0"/>
    </dxf>
    <dxf>
      <protection locked="1" hidden="0"/>
    </dxf>
  </dxfs>
  <tableStyles count="0" defaultTableStyle="TableStyleMedium9" defaultPivotStyle="PivotStyleLight16"/>
  <colors>
    <mruColors>
      <color rgb="FFFFCF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907676</xdr:colOff>
      <xdr:row>14</xdr:row>
      <xdr:rowOff>201706</xdr:rowOff>
    </xdr:from>
    <xdr:to>
      <xdr:col>1</xdr:col>
      <xdr:colOff>268941</xdr:colOff>
      <xdr:row>18</xdr:row>
      <xdr:rowOff>56029</xdr:rowOff>
    </xdr:to>
    <xdr:sp macro="" textlink="">
      <xdr:nvSpPr>
        <xdr:cNvPr id="2" name="Pfeil: nach unten 1">
          <a:extLst>
            <a:ext uri="{FF2B5EF4-FFF2-40B4-BE49-F238E27FC236}">
              <a16:creationId xmlns:a16="http://schemas.microsoft.com/office/drawing/2014/main" id="{31B2A9CD-31C1-4E27-AA7A-4D17D0B06567}"/>
            </a:ext>
          </a:extLst>
        </xdr:cNvPr>
        <xdr:cNvSpPr/>
      </xdr:nvSpPr>
      <xdr:spPr bwMode="auto">
        <a:xfrm>
          <a:off x="907676" y="4640356"/>
          <a:ext cx="332815" cy="1302123"/>
        </a:xfrm>
        <a:prstGeom prst="downArrow">
          <a:avLst/>
        </a:prstGeom>
        <a:solidFill>
          <a:srgbClr val="FF00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lang="de-DE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hettmann\AppData\Local\Microsoft\Windows\Temporary%20Internet%20Files\Content.Outlook\DC94PZXM\Reisekostenabrechnung-2016-Ausland_1608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isekostenabrechnung - 2015"/>
      <sheetName val="data_fill"/>
      <sheetName val="VMA14"/>
      <sheetName val="VMA15"/>
      <sheetName val="Reisekostenabrechnung - 2016"/>
      <sheetName val="Kürzung"/>
    </sheetNames>
    <sheetDataSet>
      <sheetData sheetId="0"/>
      <sheetData sheetId="1">
        <row r="38">
          <cell r="C38" t="str">
            <v>ja</v>
          </cell>
        </row>
        <row r="39">
          <cell r="C39" t="str">
            <v>nein</v>
          </cell>
        </row>
      </sheetData>
      <sheetData sheetId="2"/>
      <sheetData sheetId="3"/>
      <sheetData sheetId="4"/>
      <sheetData sheetId="5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FB280A7-5DC3-4CCB-AD09-C8EB858B281B}" name="VMA" displayName="VMA" ref="A2:J231" totalsRowShown="0" headerRowDxfId="70" dataDxfId="69" dataCellStyle="Standard 2 2">
  <autoFilter ref="A2:J231" xr:uid="{AFB280A7-5DC3-4CCB-AD09-C8EB858B281B}"/>
  <tableColumns count="10">
    <tableColumn id="1" xr3:uid="{FB37FFC8-88F1-4AC7-B760-A8DDE208FE75}" name="Land" dataDxfId="68" dataCellStyle="Standard 2 2"/>
    <tableColumn id="2" xr3:uid="{8AE4C045-8D73-42B7-A6FB-331592222566}" name="24 Stunden" dataDxfId="67" dataCellStyle="Standard 2 2"/>
    <tableColumn id="3" xr3:uid="{E48FC700-6244-4C41-B355-E34AB79440B2}" name="An- und Abreisetag" dataDxfId="66" dataCellStyle="Standard 2 2"/>
    <tableColumn id="4" xr3:uid="{B733AF45-FD35-492E-980E-3D8ADC65B6F6}" name="Über-nachtung" dataDxfId="65" dataCellStyle="Standard 2 2"/>
    <tableColumn id="5" xr3:uid="{9FAAACF6-5551-4285-9C94-9F7F768F7139}" name="Vorauss. Nicht erfüllt" dataDxfId="64" dataCellStyle="Standard 2 2"/>
    <tableColumn id="6" xr3:uid="{50763AFF-515F-4A53-8A64-0F45DD3D3EE3}" name="Übereinstimmung Land" dataDxfId="63" dataCellStyle="Standard 2 2">
      <calculatedColumnFormula>_xlfn.IFNA(IF(VLOOKUP(IF(J3="",A3,J3),$L$3:$O$330,1,FALSE)=A3,1,0),0)</calculatedColumnFormula>
    </tableColumn>
    <tableColumn id="7" xr3:uid="{53E53B40-53FF-44B5-BBEA-B6BB0B03BCF6}" name="Übereinstimmung" dataDxfId="62" dataCellStyle="Standard 2 2">
      <calculatedColumnFormula>_xlfn.IFNA(IF(VLOOKUP(IF(J3="",A3,J3),$L$3:$O$330,2,FALSE)=B3,1,0),0)</calculatedColumnFormula>
    </tableColumn>
    <tableColumn id="8" xr3:uid="{E8ECE4F5-FA0A-4D64-88A6-6354C9F358F3}" name="Spalte2" dataDxfId="61" dataCellStyle="Standard 2 2">
      <calculatedColumnFormula>_xlfn.IFNA(IF(VLOOKUP(IF(J3="",A3,J3),$L$3:$O$330,3,FALSE)=C3,1,0),0)</calculatedColumnFormula>
    </tableColumn>
    <tableColumn id="9" xr3:uid="{E34E15FB-99DD-4389-8A6F-B120E3AC56C2}" name="Spalte3" dataDxfId="60" dataCellStyle="Standard 2 2">
      <calculatedColumnFormula>_xlfn.IFNA(IF(VLOOKUP(IF(J3="",A3,J3),$L$3:$O$330,4,FALSE)=D3,1,0),0)</calculatedColumnFormula>
    </tableColumn>
    <tableColumn id="10" xr3:uid="{1BE1DA21-7B9E-414D-83A6-95E4CB59E4AD}" name="Bezeichnung Land entspr. In BMF-Schreiben" dataDxfId="59" dataCellStyle="Standard 2 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Larissa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4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teuer-schutzbrief.de/reisekosten/uebernachtungskosten.html" TargetMode="External"/><Relationship Id="rId2" Type="http://schemas.openxmlformats.org/officeDocument/2006/relationships/hyperlink" Target="http://www.steuer-schutzbrief.de/reisekosten/verpflegungsmehraufwand.html" TargetMode="External"/><Relationship Id="rId1" Type="http://schemas.openxmlformats.org/officeDocument/2006/relationships/hyperlink" Target="http://www.steuer-schutzbrief.de/reisekosten/verpflegungsmehraufwand.html" TargetMode="External"/><Relationship Id="rId5" Type="http://schemas.openxmlformats.org/officeDocument/2006/relationships/table" Target="../tables/table1.xm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57"/>
  <sheetViews>
    <sheetView showGridLines="0" tabSelected="1" zoomScale="85" zoomScaleNormal="85" zoomScaleSheetLayoutView="90" zoomScalePageLayoutView="70" workbookViewId="0">
      <selection sqref="A1:B1"/>
    </sheetView>
  </sheetViews>
  <sheetFormatPr baseColWidth="10" defaultRowHeight="12.75" x14ac:dyDescent="0.2"/>
  <cols>
    <col min="1" max="1" width="14.5703125" customWidth="1"/>
    <col min="2" max="2" width="17.42578125" customWidth="1"/>
    <col min="3" max="3" width="6.7109375" customWidth="1"/>
    <col min="4" max="4" width="21.140625" customWidth="1"/>
    <col min="5" max="5" width="11.85546875" customWidth="1"/>
    <col min="6" max="7" width="6.7109375" customWidth="1"/>
    <col min="8" max="8" width="11.7109375" customWidth="1"/>
    <col min="9" max="9" width="11.85546875" customWidth="1"/>
    <col min="10" max="11" width="10.7109375" customWidth="1"/>
    <col min="12" max="13" width="13.28515625" customWidth="1"/>
    <col min="14" max="14" width="6.7109375" style="188" customWidth="1"/>
    <col min="15" max="17" width="3.7109375" style="189" customWidth="1"/>
    <col min="18" max="18" width="6.7109375" style="189" customWidth="1"/>
    <col min="19" max="19" width="13.28515625" style="189" customWidth="1"/>
    <col min="20" max="20" width="10.7109375" customWidth="1"/>
    <col min="21" max="23" width="7.28515625" style="45" customWidth="1"/>
    <col min="24" max="24" width="10.7109375" customWidth="1"/>
    <col min="26" max="44" width="11.42578125" hidden="1" customWidth="1"/>
    <col min="45" max="45" width="13.42578125" hidden="1" customWidth="1"/>
    <col min="46" max="47" width="11.42578125" hidden="1" customWidth="1"/>
    <col min="48" max="48" width="21.85546875" hidden="1" customWidth="1"/>
    <col min="49" max="49" width="43.85546875" hidden="1" customWidth="1"/>
  </cols>
  <sheetData>
    <row r="1" spans="1:50" ht="22.5" customHeight="1" x14ac:dyDescent="0.25">
      <c r="A1" s="254" t="s">
        <v>212</v>
      </c>
      <c r="B1" s="254"/>
      <c r="C1" s="38" t="s">
        <v>347</v>
      </c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40"/>
      <c r="Z1" s="41" t="s">
        <v>277</v>
      </c>
      <c r="AG1">
        <f>IF(AND(AG3=1,E3&lt;&gt;"",S3&lt;&gt;""),1,IF(AND(AG3=2,E3&lt;&gt;"",S3&lt;&gt;"",S5&lt;&gt;""),1,0))</f>
        <v>0</v>
      </c>
    </row>
    <row r="2" spans="1:50" ht="5.0999999999999996" customHeight="1" x14ac:dyDescent="0.25"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/>
      <c r="O2"/>
      <c r="P2"/>
      <c r="Q2"/>
      <c r="R2"/>
      <c r="S2"/>
      <c r="X2" s="46"/>
    </row>
    <row r="3" spans="1:50" ht="18.95" customHeight="1" x14ac:dyDescent="0.2">
      <c r="A3" s="47" t="s">
        <v>213</v>
      </c>
      <c r="B3" s="48" t="s">
        <v>301</v>
      </c>
      <c r="C3" s="49"/>
      <c r="D3" s="50" t="s">
        <v>142</v>
      </c>
      <c r="E3" s="234"/>
      <c r="F3" s="235"/>
      <c r="G3" s="235"/>
      <c r="H3" s="235"/>
      <c r="I3" s="235"/>
      <c r="J3" s="236"/>
      <c r="K3" s="51"/>
      <c r="L3" s="51"/>
      <c r="M3" s="286" t="s">
        <v>274</v>
      </c>
      <c r="N3" s="286"/>
      <c r="O3" s="286"/>
      <c r="P3" s="286"/>
      <c r="Q3" s="286"/>
      <c r="R3" s="287"/>
      <c r="S3" s="234"/>
      <c r="T3" s="235"/>
      <c r="U3" s="235"/>
      <c r="V3" s="235"/>
      <c r="W3" s="236"/>
      <c r="X3" s="52"/>
      <c r="Z3" s="41" t="s">
        <v>275</v>
      </c>
      <c r="AG3">
        <f>IF(E5="",0,IF(E5="Unternehmer",1,2))</f>
        <v>0</v>
      </c>
      <c r="AI3" s="53" t="s">
        <v>246</v>
      </c>
      <c r="AO3" s="54" t="s">
        <v>96</v>
      </c>
      <c r="AP3" s="53"/>
    </row>
    <row r="4" spans="1:50" ht="5.0999999999999996" customHeight="1" x14ac:dyDescent="0.2">
      <c r="A4" s="55"/>
      <c r="B4" s="56"/>
      <c r="C4" s="57"/>
      <c r="D4" s="58"/>
      <c r="E4" s="58"/>
      <c r="F4" s="58"/>
      <c r="G4" s="58"/>
      <c r="H4" s="58"/>
      <c r="I4" s="58"/>
      <c r="J4" s="58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60"/>
    </row>
    <row r="5" spans="1:50" ht="18.95" customHeight="1" thickBot="1" x14ac:dyDescent="0.25">
      <c r="A5" s="61" t="s">
        <v>215</v>
      </c>
      <c r="B5" s="62" t="s">
        <v>214</v>
      </c>
      <c r="C5" s="63"/>
      <c r="D5" s="64" t="s">
        <v>313</v>
      </c>
      <c r="E5" s="237"/>
      <c r="F5" s="238"/>
      <c r="G5" s="238"/>
      <c r="H5" s="238"/>
      <c r="I5" s="238"/>
      <c r="J5" s="239"/>
      <c r="K5" s="65"/>
      <c r="L5" s="65"/>
      <c r="M5" s="284" t="s">
        <v>312</v>
      </c>
      <c r="N5" s="284"/>
      <c r="O5" s="284"/>
      <c r="P5" s="284"/>
      <c r="Q5" s="284"/>
      <c r="R5" s="285"/>
      <c r="S5" s="237"/>
      <c r="T5" s="238"/>
      <c r="U5" s="238"/>
      <c r="V5" s="238"/>
      <c r="W5" s="239"/>
      <c r="X5" s="66"/>
      <c r="Z5" s="41" t="s">
        <v>276</v>
      </c>
      <c r="AG5">
        <f>IF(AG3&lt;&gt;2,0,IF(S5="Meinen Arbeitgeber",1,IF(S5="Meine Einkommensteuererklärung",2,0)))</f>
        <v>0</v>
      </c>
      <c r="AI5" s="53" t="s">
        <v>247</v>
      </c>
      <c r="AO5" s="54" t="s">
        <v>71</v>
      </c>
      <c r="AV5" s="67"/>
    </row>
    <row r="6" spans="1:50" ht="5.0999999999999996" customHeight="1" thickBot="1" x14ac:dyDescent="0.25"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68"/>
      <c r="O6" s="69"/>
      <c r="P6" s="70"/>
      <c r="Q6" s="70"/>
      <c r="R6" s="70"/>
      <c r="S6" s="70"/>
    </row>
    <row r="7" spans="1:50" s="73" customFormat="1" ht="18" customHeight="1" x14ac:dyDescent="0.2">
      <c r="A7" s="71" t="s">
        <v>299</v>
      </c>
      <c r="B7" s="72" t="s">
        <v>300</v>
      </c>
      <c r="C7" s="261" t="s">
        <v>309</v>
      </c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63"/>
      <c r="O7" s="272" t="s">
        <v>237</v>
      </c>
      <c r="P7" s="273"/>
      <c r="Q7" s="273"/>
      <c r="R7" s="273"/>
      <c r="S7" s="276" t="s">
        <v>3</v>
      </c>
      <c r="T7" s="277"/>
      <c r="U7" s="278"/>
      <c r="V7" s="272" t="s">
        <v>240</v>
      </c>
      <c r="W7" s="273"/>
      <c r="X7" s="282"/>
    </row>
    <row r="8" spans="1:50" s="73" customFormat="1" ht="15.75" customHeight="1" thickBot="1" x14ac:dyDescent="0.25">
      <c r="A8" s="74"/>
      <c r="B8" s="74"/>
      <c r="C8" s="258" t="s">
        <v>281</v>
      </c>
      <c r="D8" s="259"/>
      <c r="E8" s="260"/>
      <c r="F8" s="291" t="s">
        <v>264</v>
      </c>
      <c r="G8" s="292"/>
      <c r="H8" s="293"/>
      <c r="I8" s="257" t="s">
        <v>264</v>
      </c>
      <c r="J8" s="257"/>
      <c r="K8" s="257"/>
      <c r="L8" s="255" t="s">
        <v>265</v>
      </c>
      <c r="M8" s="256"/>
      <c r="N8" s="75"/>
      <c r="O8" s="274"/>
      <c r="P8" s="275"/>
      <c r="Q8" s="275"/>
      <c r="R8" s="275"/>
      <c r="S8" s="279"/>
      <c r="T8" s="280"/>
      <c r="U8" s="281"/>
      <c r="V8" s="274"/>
      <c r="W8" s="275"/>
      <c r="X8" s="283"/>
    </row>
    <row r="9" spans="1:50" s="83" customFormat="1" ht="78.75" customHeight="1" x14ac:dyDescent="0.2">
      <c r="A9" s="252" t="s">
        <v>302</v>
      </c>
      <c r="B9" s="253"/>
      <c r="C9" s="76" t="s">
        <v>333</v>
      </c>
      <c r="D9" s="77" t="s">
        <v>209</v>
      </c>
      <c r="E9" s="77" t="s">
        <v>218</v>
      </c>
      <c r="F9" s="290" t="s">
        <v>329</v>
      </c>
      <c r="G9" s="268"/>
      <c r="H9" s="77" t="s">
        <v>241</v>
      </c>
      <c r="I9" s="77" t="s">
        <v>260</v>
      </c>
      <c r="J9" s="77" t="s">
        <v>217</v>
      </c>
      <c r="K9" s="77" t="s">
        <v>338</v>
      </c>
      <c r="L9" s="77" t="s">
        <v>243</v>
      </c>
      <c r="M9" s="77" t="s">
        <v>296</v>
      </c>
      <c r="N9" s="78" t="s">
        <v>310</v>
      </c>
      <c r="O9" s="270" t="s">
        <v>273</v>
      </c>
      <c r="P9" s="271"/>
      <c r="Q9" s="271"/>
      <c r="R9" s="79" t="s">
        <v>203</v>
      </c>
      <c r="S9" s="76" t="s">
        <v>272</v>
      </c>
      <c r="T9" s="80" t="s">
        <v>236</v>
      </c>
      <c r="U9" s="81" t="s">
        <v>235</v>
      </c>
      <c r="V9" s="268" t="s">
        <v>311</v>
      </c>
      <c r="W9" s="269"/>
      <c r="X9" s="82" t="s">
        <v>291</v>
      </c>
      <c r="Z9" s="249" t="s">
        <v>280</v>
      </c>
      <c r="AA9" s="249"/>
      <c r="AB9" s="267" t="s">
        <v>204</v>
      </c>
      <c r="AC9" s="267"/>
      <c r="AD9" s="267"/>
      <c r="AE9" s="267"/>
      <c r="AF9" s="267" t="s">
        <v>259</v>
      </c>
      <c r="AG9" s="267"/>
      <c r="AH9" s="264" t="s">
        <v>232</v>
      </c>
      <c r="AI9" s="265"/>
      <c r="AJ9" s="266"/>
      <c r="AK9" s="267" t="s">
        <v>233</v>
      </c>
      <c r="AL9" s="267"/>
      <c r="AM9" s="267"/>
      <c r="AN9" s="267"/>
      <c r="AO9" s="249" t="s">
        <v>261</v>
      </c>
      <c r="AP9" s="249"/>
      <c r="AQ9" s="249" t="s">
        <v>266</v>
      </c>
      <c r="AR9" s="249"/>
      <c r="AS9" s="249"/>
      <c r="AT9" s="249"/>
      <c r="AU9" s="249"/>
      <c r="AV9" s="288" t="s">
        <v>327</v>
      </c>
      <c r="AW9" s="289"/>
    </row>
    <row r="10" spans="1:50" s="73" customFormat="1" ht="49.5" customHeight="1" thickBot="1" x14ac:dyDescent="0.25">
      <c r="A10" s="250" t="s">
        <v>344</v>
      </c>
      <c r="B10" s="251"/>
      <c r="C10" s="84" t="s">
        <v>2</v>
      </c>
      <c r="D10" s="85" t="s">
        <v>141</v>
      </c>
      <c r="E10" s="86" t="s">
        <v>219</v>
      </c>
      <c r="F10" s="86" t="s">
        <v>330</v>
      </c>
      <c r="G10" s="86" t="s">
        <v>331</v>
      </c>
      <c r="H10" s="86" t="s">
        <v>242</v>
      </c>
      <c r="I10" s="86" t="s">
        <v>216</v>
      </c>
      <c r="J10" s="86" t="s">
        <v>2</v>
      </c>
      <c r="K10" s="86" t="s">
        <v>2</v>
      </c>
      <c r="L10" s="86" t="s">
        <v>244</v>
      </c>
      <c r="M10" s="85" t="s">
        <v>244</v>
      </c>
      <c r="N10" s="87" t="s">
        <v>1</v>
      </c>
      <c r="O10" s="88" t="s">
        <v>145</v>
      </c>
      <c r="P10" s="89" t="s">
        <v>147</v>
      </c>
      <c r="Q10" s="89" t="s">
        <v>146</v>
      </c>
      <c r="R10" s="90" t="s">
        <v>1</v>
      </c>
      <c r="S10" s="91" t="s">
        <v>244</v>
      </c>
      <c r="T10" s="92" t="s">
        <v>1</v>
      </c>
      <c r="U10" s="93" t="s">
        <v>1</v>
      </c>
      <c r="V10" s="94" t="s">
        <v>239</v>
      </c>
      <c r="W10" s="85" t="s">
        <v>238</v>
      </c>
      <c r="X10" s="93" t="s">
        <v>1</v>
      </c>
      <c r="Z10" s="95" t="s">
        <v>278</v>
      </c>
      <c r="AA10" s="95" t="s">
        <v>279</v>
      </c>
      <c r="AB10" s="95" t="s">
        <v>254</v>
      </c>
      <c r="AC10" s="95" t="s">
        <v>332</v>
      </c>
      <c r="AD10" s="96" t="s">
        <v>337</v>
      </c>
      <c r="AE10" s="95" t="s">
        <v>248</v>
      </c>
      <c r="AF10" s="95" t="s">
        <v>255</v>
      </c>
      <c r="AG10" s="95" t="s">
        <v>248</v>
      </c>
      <c r="AH10" s="95" t="s">
        <v>245</v>
      </c>
      <c r="AI10" s="95" t="s">
        <v>248</v>
      </c>
      <c r="AJ10" s="96" t="s">
        <v>249</v>
      </c>
      <c r="AK10" s="95" t="s">
        <v>250</v>
      </c>
      <c r="AL10" s="95" t="s">
        <v>248</v>
      </c>
      <c r="AM10" s="96" t="s">
        <v>252</v>
      </c>
      <c r="AN10" s="96" t="s">
        <v>253</v>
      </c>
      <c r="AO10" s="95" t="s">
        <v>262</v>
      </c>
      <c r="AP10" s="95" t="s">
        <v>263</v>
      </c>
      <c r="AQ10" s="95" t="s">
        <v>267</v>
      </c>
      <c r="AR10" s="95" t="s">
        <v>268</v>
      </c>
      <c r="AS10" s="95" t="s">
        <v>270</v>
      </c>
      <c r="AT10" s="95" t="s">
        <v>269</v>
      </c>
      <c r="AU10" s="95" t="s">
        <v>271</v>
      </c>
      <c r="AV10" s="96" t="s">
        <v>326</v>
      </c>
      <c r="AW10" s="96" t="s">
        <v>328</v>
      </c>
    </row>
    <row r="11" spans="1:50" s="109" customFormat="1" ht="28.5" customHeight="1" thickBot="1" x14ac:dyDescent="0.25">
      <c r="A11" s="233" t="str">
        <f>IF(AJ11=1,$AW$12,IF(AM11=1,$AW$13,IF(AN11=1,$AW$14,IF(AD11=1,$AW$11,""))))</f>
        <v/>
      </c>
      <c r="B11" s="233"/>
      <c r="C11" s="34"/>
      <c r="D11" s="4"/>
      <c r="E11" s="4"/>
      <c r="F11" s="6"/>
      <c r="G11" s="6"/>
      <c r="H11" s="4"/>
      <c r="I11" s="4"/>
      <c r="J11" s="35"/>
      <c r="K11" s="35"/>
      <c r="L11" s="5"/>
      <c r="M11" s="5"/>
      <c r="N11" s="102" t="str">
        <f>IF(OR($AG$1=0,Z11=0,AA11=0),"",VLOOKUP(AO11,VMA[#All],Reisekostenabrechnung!AP11,FALSE))</f>
        <v/>
      </c>
      <c r="O11" s="6"/>
      <c r="P11" s="6"/>
      <c r="Q11" s="6"/>
      <c r="R11" s="103" t="str">
        <f t="shared" ref="R11:R25" si="0">IF($AG$1=0,"",IF(AND($AG$3=2,N11&lt;&gt;""),N11-(AQ11*AU11),""))</f>
        <v/>
      </c>
      <c r="S11" s="5"/>
      <c r="T11" s="11"/>
      <c r="U11" s="105" t="str">
        <f>IF(OR($AG$1=0,$AG$3&lt;&gt;2,$AG$5&lt;&gt;1),"",IF(S11&lt;&gt;"",VLOOKUP(S11,Pauschalen!$A$1:$D$231,4,FALSE),""))</f>
        <v/>
      </c>
      <c r="V11" s="27"/>
      <c r="W11" s="9"/>
      <c r="X11" s="30"/>
      <c r="Z11" s="83">
        <f t="shared" ref="Z11:Z21" si="1">IF(OR(C11="",D11="",E11=""),0,1)</f>
        <v>0</v>
      </c>
      <c r="AA11" s="83">
        <f t="shared" ref="AA11:AA21" si="2">IF(OR(AND(AK11=1,J11&lt;&gt;"",K11&lt;&gt;"",C11&lt;&gt;J11,C11&lt;&gt;K11),AND(E11="Mehrtägigen",L11&lt;&gt;"")),1,IF(AND(E11="eintägigen",M11&lt;&gt;""),1,0))</f>
        <v>0</v>
      </c>
      <c r="AB11" s="83">
        <f t="shared" ref="AB11:AB21" si="3">IF(E11="eintägigen",1,0)</f>
        <v>0</v>
      </c>
      <c r="AC11" s="110">
        <f>G11-F11</f>
        <v>0</v>
      </c>
      <c r="AD11" s="83">
        <f>IF(IFERROR(AC11,1)=1,1,IF(DAY(G11)&lt;&gt;DAY(F11),1,0))</f>
        <v>0</v>
      </c>
      <c r="AE11" s="83">
        <f>IF(AB11=1,M11,0)</f>
        <v>0</v>
      </c>
      <c r="AF11" s="83">
        <f t="shared" ref="AF11:AF21" si="4">IF(AND(E11="mehrtägigen",AH11=0,AK11=0),1,0)</f>
        <v>0</v>
      </c>
      <c r="AG11" s="83">
        <f t="shared" ref="AG11:AG21" si="5">IF(AF11=1,IF(H11&lt;&gt;"endete",L11,IF(M11="",L11,M11)),0)</f>
        <v>0</v>
      </c>
      <c r="AH11" s="83">
        <f t="shared" ref="AH11:AH21" si="6">IF(I11="Flugzeug",1,0)</f>
        <v>0</v>
      </c>
      <c r="AI11" s="83">
        <f t="shared" ref="AI11:AI21" si="7">IF(AH11=1,IF(AND(H11="endete",M11&lt;&gt;""),M11,IF(J11=C11,L11,IF(AND(J11&lt;&gt;C11,K11=C11),L11,IF(AND(C11&lt;&gt;J11,C11&lt;&gt;K11,J11&lt;&gt;"",K11&lt;&gt;""),$AO$3,0)))),0)</f>
        <v>0</v>
      </c>
      <c r="AJ11" s="83">
        <f t="shared" ref="AJ11:AJ21" si="8">IF(AND(AH11=1,C11&lt;&gt;J11,C11=K11,L11=""),1,0)</f>
        <v>0</v>
      </c>
      <c r="AK11" s="83">
        <f t="shared" ref="AK11:AK21" si="9">IF(I11="Schiff",1,0)</f>
        <v>0</v>
      </c>
      <c r="AL11" s="83">
        <f t="shared" ref="AL11:AL21" si="10">IF(AK11=1,IF(C11=J11,L11,IF(C11=K11,L11,IF(AND(C11&lt;&gt;J11,C11&lt;&gt;K11,J11&lt;&gt;"",K11&lt;&gt;""),$AO$5,0))),0)</f>
        <v>0</v>
      </c>
      <c r="AM11" s="83">
        <f t="shared" ref="AM11:AM21" si="11">IF(AND(AK11=1,C11=J11,L11=""),1,0)</f>
        <v>0</v>
      </c>
      <c r="AN11" s="83">
        <f t="shared" ref="AN11:AN21" si="12">IF(AND(AK11=1,C11=K11,L11=""),1,0)</f>
        <v>0</v>
      </c>
      <c r="AO11" s="83">
        <f>IF(AB11=1,AE11,IF(AF11=1,AG11,IF(AH11=1,AI11,IF(AK11=1,AL11,0))))</f>
        <v>0</v>
      </c>
      <c r="AP11" s="83">
        <f>IF(AND(E11="mehrtägigen",H11=""),2,IF(OR(AND(E11="mehrtägigen",H11&lt;&gt;""),AND(E11="eintägigen",AC11&gt;TIME(8,,),AD11=0)),3,5))</f>
        <v>5</v>
      </c>
      <c r="AQ11" s="83" t="e">
        <f>VLOOKUP(AO11,Pauschalen!$A$1:$D$231,2,FALSE)</f>
        <v>#N/A</v>
      </c>
      <c r="AR11" s="83">
        <f t="shared" ref="AR11:AR21" si="13">IF(O11&lt;&gt;"",0.2,0)</f>
        <v>0</v>
      </c>
      <c r="AS11" s="83">
        <f t="shared" ref="AS11:AS21" si="14">IF(P11&lt;&gt;"",0.4,0)</f>
        <v>0</v>
      </c>
      <c r="AT11" s="83">
        <f t="shared" ref="AT11:AT21" si="15">IF(Q11&lt;&gt;"",0.4,0)</f>
        <v>0</v>
      </c>
      <c r="AU11" s="83">
        <f>SUM(AR11:AT11)</f>
        <v>0</v>
      </c>
      <c r="AV11" s="111" t="s">
        <v>334</v>
      </c>
      <c r="AW11" s="112" t="s">
        <v>336</v>
      </c>
      <c r="AX11"/>
    </row>
    <row r="12" spans="1:50" s="109" customFormat="1" ht="28.5" customHeight="1" thickBot="1" x14ac:dyDescent="0.25">
      <c r="A12" s="233" t="str">
        <f t="shared" ref="A12:A25" si="16">IF(AJ12=1,$AW$12,IF(AM12=1,$AW$13,IF(AN12=1,$AW$14,IF(AD12=1,$AW$11,""))))</f>
        <v/>
      </c>
      <c r="B12" s="233"/>
      <c r="C12" s="34"/>
      <c r="D12" s="4"/>
      <c r="E12" s="4"/>
      <c r="F12" s="6"/>
      <c r="G12" s="6"/>
      <c r="H12" s="4"/>
      <c r="I12" s="4"/>
      <c r="J12" s="35"/>
      <c r="K12" s="35"/>
      <c r="L12" s="5"/>
      <c r="M12" s="5"/>
      <c r="N12" s="102" t="str">
        <f>IF(OR($AG$1=0,Z12=0,AA12=0),"",VLOOKUP(AO12,VMA[#All],Reisekostenabrechnung!AP12,FALSE))</f>
        <v/>
      </c>
      <c r="O12" s="6"/>
      <c r="P12" s="6"/>
      <c r="Q12" s="6"/>
      <c r="R12" s="103" t="str">
        <f t="shared" si="0"/>
        <v/>
      </c>
      <c r="S12" s="5"/>
      <c r="T12" s="11"/>
      <c r="U12" s="105" t="str">
        <f>IF(OR($AG$1=0,$AG$3&lt;&gt;2,$AG$5&lt;&gt;1),"",IF(S12&lt;&gt;"",VLOOKUP(S12,Pauschalen!$A$1:$D$231,4,FALSE),""))</f>
        <v/>
      </c>
      <c r="V12" s="27"/>
      <c r="W12" s="31"/>
      <c r="X12" s="30"/>
      <c r="Z12" s="83">
        <f t="shared" si="1"/>
        <v>0</v>
      </c>
      <c r="AA12" s="83">
        <f t="shared" si="2"/>
        <v>0</v>
      </c>
      <c r="AB12" s="83">
        <f t="shared" si="3"/>
        <v>0</v>
      </c>
      <c r="AC12" s="110">
        <f t="shared" ref="AC12:AC25" si="17">G12-F12</f>
        <v>0</v>
      </c>
      <c r="AD12" s="83">
        <f t="shared" ref="AD12:AD25" si="18">IF(IFERROR(AC12,1)=1,1,IF(DAY(G12)&lt;&gt;DAY(F12),1,0))</f>
        <v>0</v>
      </c>
      <c r="AE12" s="83">
        <f t="shared" ref="AE12:AE21" si="19">IF(AB12=1,M12,0)</f>
        <v>0</v>
      </c>
      <c r="AF12" s="83">
        <f t="shared" si="4"/>
        <v>0</v>
      </c>
      <c r="AG12" s="83">
        <f t="shared" si="5"/>
        <v>0</v>
      </c>
      <c r="AH12" s="83">
        <f t="shared" si="6"/>
        <v>0</v>
      </c>
      <c r="AI12" s="83">
        <f t="shared" si="7"/>
        <v>0</v>
      </c>
      <c r="AJ12" s="83">
        <f t="shared" si="8"/>
        <v>0</v>
      </c>
      <c r="AK12" s="83">
        <f t="shared" si="9"/>
        <v>0</v>
      </c>
      <c r="AL12" s="83">
        <f t="shared" si="10"/>
        <v>0</v>
      </c>
      <c r="AM12" s="83">
        <f t="shared" si="11"/>
        <v>0</v>
      </c>
      <c r="AN12" s="83">
        <f t="shared" si="12"/>
        <v>0</v>
      </c>
      <c r="AO12" s="83">
        <f t="shared" ref="AO12:AO13" si="20">IF(AB12=1,AE12,IF(AF12=1,AG12,IF(AH12=1,AI12,IF(AK12=1,AL12,0))))</f>
        <v>0</v>
      </c>
      <c r="AP12" s="83">
        <f t="shared" ref="AP12:AP25" si="21">IF(AND(E12="mehrtägigen",H12=""),2,IF(OR(AND(E12="mehrtägigen",H12&lt;&gt;""),AND(E12="eintägigen",AC12&gt;TIME(8,,),AD12=0)),3,5))</f>
        <v>5</v>
      </c>
      <c r="AQ12" s="83" t="e">
        <f>VLOOKUP(AO12,Pauschalen!$A$1:$D$231,2,FALSE)</f>
        <v>#N/A</v>
      </c>
      <c r="AR12" s="83">
        <f t="shared" si="13"/>
        <v>0</v>
      </c>
      <c r="AS12" s="83">
        <f t="shared" si="14"/>
        <v>0</v>
      </c>
      <c r="AT12" s="83">
        <f t="shared" si="15"/>
        <v>0</v>
      </c>
      <c r="AU12" s="83">
        <f t="shared" ref="AU12:AU14" si="22">SUM(AR12:AT12)</f>
        <v>0</v>
      </c>
      <c r="AV12" s="114" t="s">
        <v>232</v>
      </c>
      <c r="AW12" s="115" t="s">
        <v>284</v>
      </c>
      <c r="AX12"/>
    </row>
    <row r="13" spans="1:50" s="109" customFormat="1" ht="28.5" customHeight="1" thickBot="1" x14ac:dyDescent="0.25">
      <c r="A13" s="233" t="str">
        <f t="shared" si="16"/>
        <v/>
      </c>
      <c r="B13" s="233"/>
      <c r="C13" s="34"/>
      <c r="D13" s="4"/>
      <c r="E13" s="4"/>
      <c r="F13" s="6"/>
      <c r="G13" s="6"/>
      <c r="H13" s="4"/>
      <c r="I13" s="4"/>
      <c r="J13" s="35"/>
      <c r="K13" s="36"/>
      <c r="L13" s="5"/>
      <c r="M13" s="7"/>
      <c r="N13" s="102" t="str">
        <f>IF(OR($AG$1=0,Z13=0,AA13=0),"",VLOOKUP(AO13,VMA[#All],Reisekostenabrechnung!AP13,FALSE))</f>
        <v/>
      </c>
      <c r="O13" s="8"/>
      <c r="P13" s="8"/>
      <c r="Q13" s="8"/>
      <c r="R13" s="103" t="str">
        <f t="shared" si="0"/>
        <v/>
      </c>
      <c r="S13" s="5"/>
      <c r="T13" s="12"/>
      <c r="U13" s="105" t="str">
        <f>IF(OR($AG$1=0,$AG$3&lt;&gt;2,$AG$5&lt;&gt;1),"",IF(S13&lt;&gt;"",VLOOKUP(S13,Pauschalen!$A$1:$D$231,4,FALSE),""))</f>
        <v/>
      </c>
      <c r="V13" s="28"/>
      <c r="W13" s="32"/>
      <c r="X13" s="33"/>
      <c r="Z13" s="83">
        <f t="shared" si="1"/>
        <v>0</v>
      </c>
      <c r="AA13" s="83">
        <f t="shared" si="2"/>
        <v>0</v>
      </c>
      <c r="AB13" s="83">
        <f t="shared" si="3"/>
        <v>0</v>
      </c>
      <c r="AC13" s="110">
        <f t="shared" si="17"/>
        <v>0</v>
      </c>
      <c r="AD13" s="83">
        <f t="shared" si="18"/>
        <v>0</v>
      </c>
      <c r="AE13" s="83">
        <f t="shared" si="19"/>
        <v>0</v>
      </c>
      <c r="AF13" s="83">
        <f t="shared" si="4"/>
        <v>0</v>
      </c>
      <c r="AG13" s="83">
        <f t="shared" si="5"/>
        <v>0</v>
      </c>
      <c r="AH13" s="83">
        <f t="shared" si="6"/>
        <v>0</v>
      </c>
      <c r="AI13" s="83">
        <f t="shared" si="7"/>
        <v>0</v>
      </c>
      <c r="AJ13" s="83">
        <f t="shared" si="8"/>
        <v>0</v>
      </c>
      <c r="AK13" s="83">
        <f t="shared" si="9"/>
        <v>0</v>
      </c>
      <c r="AL13" s="83">
        <f t="shared" si="10"/>
        <v>0</v>
      </c>
      <c r="AM13" s="83">
        <f t="shared" si="11"/>
        <v>0</v>
      </c>
      <c r="AN13" s="83">
        <f t="shared" si="12"/>
        <v>0</v>
      </c>
      <c r="AO13" s="83">
        <f t="shared" si="20"/>
        <v>0</v>
      </c>
      <c r="AP13" s="83">
        <f t="shared" si="21"/>
        <v>5</v>
      </c>
      <c r="AQ13" s="83" t="e">
        <f>VLOOKUP(AO13,Pauschalen!$A$1:$D$231,2,FALSE)</f>
        <v>#N/A</v>
      </c>
      <c r="AR13" s="83">
        <f t="shared" si="13"/>
        <v>0</v>
      </c>
      <c r="AS13" s="83">
        <f t="shared" si="14"/>
        <v>0</v>
      </c>
      <c r="AT13" s="83">
        <f t="shared" si="15"/>
        <v>0</v>
      </c>
      <c r="AU13" s="83">
        <f t="shared" si="22"/>
        <v>0</v>
      </c>
      <c r="AV13" s="114" t="s">
        <v>324</v>
      </c>
      <c r="AW13" s="115" t="s">
        <v>282</v>
      </c>
      <c r="AX13" s="73"/>
    </row>
    <row r="14" spans="1:50" s="109" customFormat="1" ht="28.5" customHeight="1" thickBot="1" x14ac:dyDescent="0.25">
      <c r="A14" s="233" t="str">
        <f t="shared" si="16"/>
        <v/>
      </c>
      <c r="B14" s="233"/>
      <c r="C14" s="34"/>
      <c r="D14" s="4"/>
      <c r="E14" s="4"/>
      <c r="F14" s="6"/>
      <c r="G14" s="6"/>
      <c r="H14" s="4"/>
      <c r="I14" s="4"/>
      <c r="J14" s="35"/>
      <c r="K14" s="35"/>
      <c r="L14" s="5"/>
      <c r="M14" s="5"/>
      <c r="N14" s="102" t="str">
        <f>IF(OR($AG$1=0,Z14=0,AA14=0),"",VLOOKUP(AO14,VMA[#All],Reisekostenabrechnung!AP14,FALSE))</f>
        <v/>
      </c>
      <c r="O14" s="8"/>
      <c r="P14" s="8"/>
      <c r="Q14" s="6"/>
      <c r="R14" s="103" t="str">
        <f t="shared" si="0"/>
        <v/>
      </c>
      <c r="S14" s="5"/>
      <c r="T14" s="11"/>
      <c r="U14" s="105" t="str">
        <f>IF(OR($AG$1=0,$AG$3&lt;&gt;2,$AG$5&lt;&gt;1),"",IF(S14&lt;&gt;"",VLOOKUP(S14,Pauschalen!$A$1:$D$231,4,FALSE),""))</f>
        <v/>
      </c>
      <c r="V14" s="27"/>
      <c r="W14" s="9"/>
      <c r="X14" s="30"/>
      <c r="Z14" s="83">
        <f t="shared" si="1"/>
        <v>0</v>
      </c>
      <c r="AA14" s="83">
        <f t="shared" si="2"/>
        <v>0</v>
      </c>
      <c r="AB14" s="83">
        <f t="shared" si="3"/>
        <v>0</v>
      </c>
      <c r="AC14" s="110">
        <f t="shared" si="17"/>
        <v>0</v>
      </c>
      <c r="AD14" s="83">
        <f t="shared" si="18"/>
        <v>0</v>
      </c>
      <c r="AE14" s="83">
        <f t="shared" si="19"/>
        <v>0</v>
      </c>
      <c r="AF14" s="83">
        <f t="shared" si="4"/>
        <v>0</v>
      </c>
      <c r="AG14" s="83">
        <f t="shared" si="5"/>
        <v>0</v>
      </c>
      <c r="AH14" s="83">
        <f t="shared" si="6"/>
        <v>0</v>
      </c>
      <c r="AI14" s="83">
        <f t="shared" si="7"/>
        <v>0</v>
      </c>
      <c r="AJ14" s="83">
        <f t="shared" si="8"/>
        <v>0</v>
      </c>
      <c r="AK14" s="83">
        <f t="shared" si="9"/>
        <v>0</v>
      </c>
      <c r="AL14" s="83">
        <f t="shared" si="10"/>
        <v>0</v>
      </c>
      <c r="AM14" s="83">
        <f t="shared" si="11"/>
        <v>0</v>
      </c>
      <c r="AN14" s="83">
        <f t="shared" si="12"/>
        <v>0</v>
      </c>
      <c r="AO14" s="83">
        <f>IF(AB14=1,AE14,IF(AF14=1,AG14,IF(AH14=1,AI14,IF(AK14=1,AL14,0))))</f>
        <v>0</v>
      </c>
      <c r="AP14" s="83">
        <f t="shared" si="21"/>
        <v>5</v>
      </c>
      <c r="AQ14" s="83" t="e">
        <f>VLOOKUP(AO14,Pauschalen!$A$1:$D$231,2,FALSE)</f>
        <v>#N/A</v>
      </c>
      <c r="AR14" s="83">
        <f t="shared" si="13"/>
        <v>0</v>
      </c>
      <c r="AS14" s="83">
        <f t="shared" si="14"/>
        <v>0</v>
      </c>
      <c r="AT14" s="83">
        <f t="shared" si="15"/>
        <v>0</v>
      </c>
      <c r="AU14" s="83">
        <f t="shared" si="22"/>
        <v>0</v>
      </c>
      <c r="AV14" s="114" t="s">
        <v>325</v>
      </c>
      <c r="AW14" s="115" t="s">
        <v>283</v>
      </c>
    </row>
    <row r="15" spans="1:50" s="109" customFormat="1" ht="28.5" customHeight="1" thickBot="1" x14ac:dyDescent="0.25">
      <c r="A15" s="233" t="str">
        <f t="shared" si="16"/>
        <v/>
      </c>
      <c r="B15" s="233"/>
      <c r="C15" s="34"/>
      <c r="D15" s="4"/>
      <c r="E15" s="4"/>
      <c r="F15" s="6"/>
      <c r="G15" s="6"/>
      <c r="H15" s="4"/>
      <c r="I15" s="4"/>
      <c r="J15" s="35"/>
      <c r="K15" s="36"/>
      <c r="L15" s="5"/>
      <c r="M15" s="7"/>
      <c r="N15" s="102" t="str">
        <f>IF(OR($AG$1=0,Z15=0,AA15=0),"",VLOOKUP(AO15,VMA[#All],Reisekostenabrechnung!AP15,FALSE))</f>
        <v/>
      </c>
      <c r="O15" s="8"/>
      <c r="P15" s="8"/>
      <c r="Q15" s="8"/>
      <c r="R15" s="103" t="str">
        <f t="shared" si="0"/>
        <v/>
      </c>
      <c r="S15" s="5"/>
      <c r="T15" s="12"/>
      <c r="U15" s="105" t="str">
        <f>IF(OR($AG$1=0,$AG$3&lt;&gt;2,$AG$5&lt;&gt;1),"",IF(S15&lt;&gt;"",VLOOKUP(S15,Pauschalen!$A$1:$D$231,4,FALSE),""))</f>
        <v/>
      </c>
      <c r="V15" s="28"/>
      <c r="W15" s="32"/>
      <c r="X15" s="33"/>
      <c r="Z15" s="83">
        <f t="shared" si="1"/>
        <v>0</v>
      </c>
      <c r="AA15" s="83">
        <f t="shared" si="2"/>
        <v>0</v>
      </c>
      <c r="AB15" s="83">
        <f t="shared" si="3"/>
        <v>0</v>
      </c>
      <c r="AC15" s="110">
        <f t="shared" si="17"/>
        <v>0</v>
      </c>
      <c r="AD15" s="83">
        <f t="shared" si="18"/>
        <v>0</v>
      </c>
      <c r="AE15" s="83">
        <f t="shared" si="19"/>
        <v>0</v>
      </c>
      <c r="AF15" s="83">
        <f t="shared" si="4"/>
        <v>0</v>
      </c>
      <c r="AG15" s="83">
        <f t="shared" si="5"/>
        <v>0</v>
      </c>
      <c r="AH15" s="83">
        <f t="shared" si="6"/>
        <v>0</v>
      </c>
      <c r="AI15" s="83">
        <f t="shared" si="7"/>
        <v>0</v>
      </c>
      <c r="AJ15" s="83">
        <f t="shared" si="8"/>
        <v>0</v>
      </c>
      <c r="AK15" s="83">
        <f t="shared" si="9"/>
        <v>0</v>
      </c>
      <c r="AL15" s="83">
        <f t="shared" si="10"/>
        <v>0</v>
      </c>
      <c r="AM15" s="83">
        <f t="shared" si="11"/>
        <v>0</v>
      </c>
      <c r="AN15" s="83">
        <f t="shared" si="12"/>
        <v>0</v>
      </c>
      <c r="AO15" s="83">
        <f t="shared" ref="AO15:AO25" si="23">IF(AB15=1,AE15,IF(AF15=1,AG15,IF(AH15=1,AI15,IF(AK15=1,AL15,0))))</f>
        <v>0</v>
      </c>
      <c r="AP15" s="83">
        <f t="shared" si="21"/>
        <v>5</v>
      </c>
      <c r="AQ15" s="83" t="e">
        <f>VLOOKUP(AO15,Pauschalen!$A$1:$D$231,2,FALSE)</f>
        <v>#N/A</v>
      </c>
      <c r="AR15" s="83">
        <f t="shared" si="13"/>
        <v>0</v>
      </c>
      <c r="AS15" s="83">
        <f t="shared" si="14"/>
        <v>0</v>
      </c>
      <c r="AT15" s="83">
        <f t="shared" si="15"/>
        <v>0</v>
      </c>
      <c r="AU15" s="83">
        <f t="shared" ref="AU15:AU25" si="24">SUM(AR15:AT15)</f>
        <v>0</v>
      </c>
    </row>
    <row r="16" spans="1:50" s="109" customFormat="1" ht="28.5" customHeight="1" thickBot="1" x14ac:dyDescent="0.25">
      <c r="A16" s="233" t="str">
        <f t="shared" si="16"/>
        <v/>
      </c>
      <c r="B16" s="233"/>
      <c r="C16" s="34"/>
      <c r="D16" s="4"/>
      <c r="E16" s="4"/>
      <c r="F16" s="6"/>
      <c r="G16" s="6"/>
      <c r="H16" s="4"/>
      <c r="I16" s="4"/>
      <c r="J16" s="35"/>
      <c r="K16" s="35"/>
      <c r="L16" s="5"/>
      <c r="M16" s="5"/>
      <c r="N16" s="102" t="str">
        <f>IF(OR($AG$1=0,Z16=0,AA16=0),"",VLOOKUP(AO16,VMA[#All],Reisekostenabrechnung!AP16,FALSE))</f>
        <v/>
      </c>
      <c r="O16" s="8"/>
      <c r="P16" s="8"/>
      <c r="Q16" s="6"/>
      <c r="R16" s="103" t="str">
        <f t="shared" si="0"/>
        <v/>
      </c>
      <c r="S16" s="5"/>
      <c r="T16" s="11"/>
      <c r="U16" s="105" t="str">
        <f>IF(OR($AG$1=0,$AG$3&lt;&gt;2,$AG$5&lt;&gt;1),"",IF(S16&lt;&gt;"",VLOOKUP(S16,Pauschalen!$A$1:$D$231,4,FALSE),""))</f>
        <v/>
      </c>
      <c r="V16" s="27"/>
      <c r="W16" s="9"/>
      <c r="X16" s="30"/>
      <c r="Z16" s="83">
        <f t="shared" si="1"/>
        <v>0</v>
      </c>
      <c r="AA16" s="83">
        <f t="shared" si="2"/>
        <v>0</v>
      </c>
      <c r="AB16" s="83">
        <f t="shared" si="3"/>
        <v>0</v>
      </c>
      <c r="AC16" s="110">
        <f t="shared" si="17"/>
        <v>0</v>
      </c>
      <c r="AD16" s="83">
        <f t="shared" si="18"/>
        <v>0</v>
      </c>
      <c r="AE16" s="83">
        <f t="shared" si="19"/>
        <v>0</v>
      </c>
      <c r="AF16" s="83">
        <f t="shared" si="4"/>
        <v>0</v>
      </c>
      <c r="AG16" s="83">
        <f t="shared" si="5"/>
        <v>0</v>
      </c>
      <c r="AH16" s="83">
        <f t="shared" si="6"/>
        <v>0</v>
      </c>
      <c r="AI16" s="83">
        <f t="shared" si="7"/>
        <v>0</v>
      </c>
      <c r="AJ16" s="83">
        <f t="shared" si="8"/>
        <v>0</v>
      </c>
      <c r="AK16" s="83">
        <f t="shared" si="9"/>
        <v>0</v>
      </c>
      <c r="AL16" s="83">
        <f t="shared" si="10"/>
        <v>0</v>
      </c>
      <c r="AM16" s="83">
        <f t="shared" si="11"/>
        <v>0</v>
      </c>
      <c r="AN16" s="83">
        <f t="shared" si="12"/>
        <v>0</v>
      </c>
      <c r="AO16" s="83">
        <f t="shared" si="23"/>
        <v>0</v>
      </c>
      <c r="AP16" s="83">
        <f t="shared" si="21"/>
        <v>5</v>
      </c>
      <c r="AQ16" s="83" t="e">
        <f>VLOOKUP(AO16,Pauschalen!$A$1:$D$231,2,FALSE)</f>
        <v>#N/A</v>
      </c>
      <c r="AR16" s="83">
        <f t="shared" si="13"/>
        <v>0</v>
      </c>
      <c r="AS16" s="83">
        <f t="shared" si="14"/>
        <v>0</v>
      </c>
      <c r="AT16" s="83">
        <f t="shared" si="15"/>
        <v>0</v>
      </c>
      <c r="AU16" s="83">
        <f t="shared" si="24"/>
        <v>0</v>
      </c>
    </row>
    <row r="17" spans="1:47" s="109" customFormat="1" ht="28.5" customHeight="1" thickBot="1" x14ac:dyDescent="0.25">
      <c r="A17" s="233" t="str">
        <f t="shared" si="16"/>
        <v/>
      </c>
      <c r="B17" s="233"/>
      <c r="C17" s="34"/>
      <c r="D17" s="4"/>
      <c r="E17" s="4"/>
      <c r="F17" s="6"/>
      <c r="G17" s="6"/>
      <c r="H17" s="4"/>
      <c r="I17" s="4"/>
      <c r="J17" s="35"/>
      <c r="K17" s="36"/>
      <c r="L17" s="5"/>
      <c r="M17" s="7"/>
      <c r="N17" s="102" t="str">
        <f>IF(OR($AG$1=0,Z17=0,AA17=0),"",VLOOKUP(AO17,VMA[#All],Reisekostenabrechnung!AP17,FALSE))</f>
        <v/>
      </c>
      <c r="O17" s="8"/>
      <c r="P17" s="8"/>
      <c r="Q17" s="8"/>
      <c r="R17" s="103" t="str">
        <f t="shared" si="0"/>
        <v/>
      </c>
      <c r="S17" s="5"/>
      <c r="T17" s="12"/>
      <c r="U17" s="105" t="str">
        <f>IF(OR($AG$1=0,$AG$3&lt;&gt;2,$AG$5&lt;&gt;1),"",IF(S17&lt;&gt;"",VLOOKUP(S17,Pauschalen!$A$1:$D$231,4,FALSE),""))</f>
        <v/>
      </c>
      <c r="V17" s="28"/>
      <c r="W17" s="32"/>
      <c r="X17" s="33"/>
      <c r="Z17" s="83">
        <f t="shared" si="1"/>
        <v>0</v>
      </c>
      <c r="AA17" s="83">
        <f t="shared" si="2"/>
        <v>0</v>
      </c>
      <c r="AB17" s="83">
        <f t="shared" si="3"/>
        <v>0</v>
      </c>
      <c r="AC17" s="110">
        <f t="shared" si="17"/>
        <v>0</v>
      </c>
      <c r="AD17" s="83">
        <f t="shared" si="18"/>
        <v>0</v>
      </c>
      <c r="AE17" s="83">
        <f t="shared" si="19"/>
        <v>0</v>
      </c>
      <c r="AF17" s="83">
        <f t="shared" si="4"/>
        <v>0</v>
      </c>
      <c r="AG17" s="83">
        <f t="shared" si="5"/>
        <v>0</v>
      </c>
      <c r="AH17" s="83">
        <f t="shared" si="6"/>
        <v>0</v>
      </c>
      <c r="AI17" s="83">
        <f t="shared" si="7"/>
        <v>0</v>
      </c>
      <c r="AJ17" s="83">
        <f t="shared" si="8"/>
        <v>0</v>
      </c>
      <c r="AK17" s="83">
        <f t="shared" si="9"/>
        <v>0</v>
      </c>
      <c r="AL17" s="83">
        <f t="shared" si="10"/>
        <v>0</v>
      </c>
      <c r="AM17" s="83">
        <f t="shared" si="11"/>
        <v>0</v>
      </c>
      <c r="AN17" s="83">
        <f t="shared" si="12"/>
        <v>0</v>
      </c>
      <c r="AO17" s="83">
        <f t="shared" si="23"/>
        <v>0</v>
      </c>
      <c r="AP17" s="83">
        <f t="shared" si="21"/>
        <v>5</v>
      </c>
      <c r="AQ17" s="83" t="e">
        <f>VLOOKUP(AO17,Pauschalen!$A$1:$D$231,2,FALSE)</f>
        <v>#N/A</v>
      </c>
      <c r="AR17" s="83">
        <f t="shared" si="13"/>
        <v>0</v>
      </c>
      <c r="AS17" s="83">
        <f t="shared" si="14"/>
        <v>0</v>
      </c>
      <c r="AT17" s="83">
        <f t="shared" si="15"/>
        <v>0</v>
      </c>
      <c r="AU17" s="83">
        <f t="shared" si="24"/>
        <v>0</v>
      </c>
    </row>
    <row r="18" spans="1:47" s="109" customFormat="1" ht="28.5" customHeight="1" thickBot="1" x14ac:dyDescent="0.25">
      <c r="A18" s="233" t="str">
        <f t="shared" si="16"/>
        <v/>
      </c>
      <c r="B18" s="233"/>
      <c r="C18" s="34"/>
      <c r="D18" s="4"/>
      <c r="E18" s="4"/>
      <c r="F18" s="6"/>
      <c r="G18" s="6"/>
      <c r="H18" s="4"/>
      <c r="I18" s="4"/>
      <c r="J18" s="35"/>
      <c r="K18" s="35"/>
      <c r="L18" s="5"/>
      <c r="M18" s="7"/>
      <c r="N18" s="102" t="str">
        <f>IF(OR($AG$1=0,Z18=0,AA18=0),"",VLOOKUP(AO18,VMA[#All],Reisekostenabrechnung!AP18,FALSE))</f>
        <v/>
      </c>
      <c r="O18" s="6"/>
      <c r="P18" s="6"/>
      <c r="Q18" s="6"/>
      <c r="R18" s="103" t="str">
        <f t="shared" si="0"/>
        <v/>
      </c>
      <c r="S18" s="5"/>
      <c r="T18" s="11"/>
      <c r="U18" s="105" t="str">
        <f>IF(OR($AG$1=0,$AG$3&lt;&gt;2,$AG$5&lt;&gt;1),"",IF(S18&lt;&gt;"",VLOOKUP(S18,Pauschalen!$A$1:$D$231,4,FALSE),""))</f>
        <v/>
      </c>
      <c r="V18" s="27"/>
      <c r="W18" s="9"/>
      <c r="X18" s="30"/>
      <c r="Z18" s="83">
        <f t="shared" si="1"/>
        <v>0</v>
      </c>
      <c r="AA18" s="83">
        <f t="shared" si="2"/>
        <v>0</v>
      </c>
      <c r="AB18" s="83">
        <f t="shared" si="3"/>
        <v>0</v>
      </c>
      <c r="AC18" s="110">
        <f t="shared" si="17"/>
        <v>0</v>
      </c>
      <c r="AD18" s="83">
        <f t="shared" si="18"/>
        <v>0</v>
      </c>
      <c r="AE18" s="83">
        <f t="shared" si="19"/>
        <v>0</v>
      </c>
      <c r="AF18" s="83">
        <f t="shared" si="4"/>
        <v>0</v>
      </c>
      <c r="AG18" s="83">
        <f t="shared" si="5"/>
        <v>0</v>
      </c>
      <c r="AH18" s="83">
        <f t="shared" si="6"/>
        <v>0</v>
      </c>
      <c r="AI18" s="83">
        <f t="shared" si="7"/>
        <v>0</v>
      </c>
      <c r="AJ18" s="83">
        <f t="shared" si="8"/>
        <v>0</v>
      </c>
      <c r="AK18" s="83">
        <f t="shared" si="9"/>
        <v>0</v>
      </c>
      <c r="AL18" s="83">
        <f t="shared" si="10"/>
        <v>0</v>
      </c>
      <c r="AM18" s="83">
        <f t="shared" si="11"/>
        <v>0</v>
      </c>
      <c r="AN18" s="83">
        <f t="shared" si="12"/>
        <v>0</v>
      </c>
      <c r="AO18" s="83">
        <f t="shared" si="23"/>
        <v>0</v>
      </c>
      <c r="AP18" s="83">
        <f t="shared" si="21"/>
        <v>5</v>
      </c>
      <c r="AQ18" s="83" t="e">
        <f>VLOOKUP(AO18,Pauschalen!$A$1:$D$231,2,FALSE)</f>
        <v>#N/A</v>
      </c>
      <c r="AR18" s="83">
        <f t="shared" si="13"/>
        <v>0</v>
      </c>
      <c r="AS18" s="83">
        <f t="shared" si="14"/>
        <v>0</v>
      </c>
      <c r="AT18" s="83">
        <f t="shared" si="15"/>
        <v>0</v>
      </c>
      <c r="AU18" s="83">
        <f t="shared" si="24"/>
        <v>0</v>
      </c>
    </row>
    <row r="19" spans="1:47" s="109" customFormat="1" ht="28.5" customHeight="1" thickBot="1" x14ac:dyDescent="0.25">
      <c r="A19" s="233" t="str">
        <f t="shared" si="16"/>
        <v/>
      </c>
      <c r="B19" s="233"/>
      <c r="C19" s="34"/>
      <c r="D19" s="4"/>
      <c r="E19" s="4"/>
      <c r="F19" s="6"/>
      <c r="G19" s="6"/>
      <c r="H19" s="4"/>
      <c r="I19" s="4"/>
      <c r="J19" s="35"/>
      <c r="K19" s="36"/>
      <c r="L19" s="5"/>
      <c r="M19" s="7"/>
      <c r="N19" s="102" t="str">
        <f>IF(OR($AG$1=0,Z19=0,AA19=0),"",VLOOKUP(AO19,VMA[#All],Reisekostenabrechnung!AP19,FALSE))</f>
        <v/>
      </c>
      <c r="O19" s="8"/>
      <c r="P19" s="8"/>
      <c r="Q19" s="8"/>
      <c r="R19" s="103" t="str">
        <f t="shared" si="0"/>
        <v/>
      </c>
      <c r="S19" s="5"/>
      <c r="T19" s="12"/>
      <c r="U19" s="105" t="str">
        <f>IF(OR($AG$1=0,$AG$3&lt;&gt;2,$AG$5&lt;&gt;1),"",IF(S19&lt;&gt;"",VLOOKUP(S19,Pauschalen!$A$1:$D$231,4,FALSE),""))</f>
        <v/>
      </c>
      <c r="V19" s="28"/>
      <c r="W19" s="32"/>
      <c r="X19" s="33"/>
      <c r="Z19" s="83">
        <f t="shared" si="1"/>
        <v>0</v>
      </c>
      <c r="AA19" s="83">
        <f t="shared" si="2"/>
        <v>0</v>
      </c>
      <c r="AB19" s="83">
        <f t="shared" si="3"/>
        <v>0</v>
      </c>
      <c r="AC19" s="110">
        <f t="shared" si="17"/>
        <v>0</v>
      </c>
      <c r="AD19" s="83">
        <f t="shared" si="18"/>
        <v>0</v>
      </c>
      <c r="AE19" s="83">
        <f t="shared" si="19"/>
        <v>0</v>
      </c>
      <c r="AF19" s="83">
        <f t="shared" si="4"/>
        <v>0</v>
      </c>
      <c r="AG19" s="83">
        <f t="shared" si="5"/>
        <v>0</v>
      </c>
      <c r="AH19" s="83">
        <f t="shared" si="6"/>
        <v>0</v>
      </c>
      <c r="AI19" s="83">
        <f t="shared" si="7"/>
        <v>0</v>
      </c>
      <c r="AJ19" s="83">
        <f t="shared" si="8"/>
        <v>0</v>
      </c>
      <c r="AK19" s="83">
        <f t="shared" si="9"/>
        <v>0</v>
      </c>
      <c r="AL19" s="83">
        <f t="shared" si="10"/>
        <v>0</v>
      </c>
      <c r="AM19" s="83">
        <f t="shared" si="11"/>
        <v>0</v>
      </c>
      <c r="AN19" s="83">
        <f t="shared" si="12"/>
        <v>0</v>
      </c>
      <c r="AO19" s="83">
        <f t="shared" si="23"/>
        <v>0</v>
      </c>
      <c r="AP19" s="83">
        <f t="shared" si="21"/>
        <v>5</v>
      </c>
      <c r="AQ19" s="83" t="e">
        <f>VLOOKUP(AO19,Pauschalen!$A$1:$D$231,2,FALSE)</f>
        <v>#N/A</v>
      </c>
      <c r="AR19" s="83">
        <f t="shared" si="13"/>
        <v>0</v>
      </c>
      <c r="AS19" s="83">
        <f t="shared" si="14"/>
        <v>0</v>
      </c>
      <c r="AT19" s="83">
        <f t="shared" si="15"/>
        <v>0</v>
      </c>
      <c r="AU19" s="83">
        <f t="shared" si="24"/>
        <v>0</v>
      </c>
    </row>
    <row r="20" spans="1:47" s="109" customFormat="1" ht="28.5" customHeight="1" thickBot="1" x14ac:dyDescent="0.25">
      <c r="A20" s="233" t="str">
        <f t="shared" si="16"/>
        <v/>
      </c>
      <c r="B20" s="233"/>
      <c r="C20" s="34"/>
      <c r="D20" s="4"/>
      <c r="E20" s="4"/>
      <c r="F20" s="6"/>
      <c r="G20" s="6"/>
      <c r="H20" s="4"/>
      <c r="I20" s="4"/>
      <c r="J20" s="35"/>
      <c r="K20" s="35"/>
      <c r="L20" s="5"/>
      <c r="M20" s="5"/>
      <c r="N20" s="102" t="str">
        <f>IF(OR($AG$1=0,Z20=0,AA20=0),"",VLOOKUP(AO20,VMA[#All],Reisekostenabrechnung!AP20,FALSE))</f>
        <v/>
      </c>
      <c r="O20" s="8"/>
      <c r="P20" s="8"/>
      <c r="Q20" s="6"/>
      <c r="R20" s="103" t="str">
        <f t="shared" si="0"/>
        <v/>
      </c>
      <c r="S20" s="5"/>
      <c r="T20" s="11"/>
      <c r="U20" s="105" t="str">
        <f>IF(OR($AG$1=0,$AG$3&lt;&gt;2,$AG$5&lt;&gt;1),"",IF(S20&lt;&gt;"",VLOOKUP(S20,Pauschalen!$A$1:$D$231,4,FALSE),""))</f>
        <v/>
      </c>
      <c r="V20" s="27"/>
      <c r="W20" s="9"/>
      <c r="X20" s="30"/>
      <c r="Z20" s="83">
        <f t="shared" si="1"/>
        <v>0</v>
      </c>
      <c r="AA20" s="83">
        <f t="shared" si="2"/>
        <v>0</v>
      </c>
      <c r="AB20" s="83">
        <f t="shared" si="3"/>
        <v>0</v>
      </c>
      <c r="AC20" s="110">
        <f t="shared" si="17"/>
        <v>0</v>
      </c>
      <c r="AD20" s="83">
        <f t="shared" si="18"/>
        <v>0</v>
      </c>
      <c r="AE20" s="83">
        <f t="shared" si="19"/>
        <v>0</v>
      </c>
      <c r="AF20" s="83">
        <f t="shared" si="4"/>
        <v>0</v>
      </c>
      <c r="AG20" s="83">
        <f t="shared" si="5"/>
        <v>0</v>
      </c>
      <c r="AH20" s="83">
        <f t="shared" si="6"/>
        <v>0</v>
      </c>
      <c r="AI20" s="83">
        <f t="shared" si="7"/>
        <v>0</v>
      </c>
      <c r="AJ20" s="83">
        <f t="shared" si="8"/>
        <v>0</v>
      </c>
      <c r="AK20" s="83">
        <f t="shared" si="9"/>
        <v>0</v>
      </c>
      <c r="AL20" s="83">
        <f t="shared" si="10"/>
        <v>0</v>
      </c>
      <c r="AM20" s="83">
        <f t="shared" si="11"/>
        <v>0</v>
      </c>
      <c r="AN20" s="83">
        <f t="shared" si="12"/>
        <v>0</v>
      </c>
      <c r="AO20" s="83">
        <f t="shared" si="23"/>
        <v>0</v>
      </c>
      <c r="AP20" s="83">
        <f t="shared" si="21"/>
        <v>5</v>
      </c>
      <c r="AQ20" s="83" t="e">
        <f>VLOOKUP(AO20,Pauschalen!$A$1:$D$231,2,FALSE)</f>
        <v>#N/A</v>
      </c>
      <c r="AR20" s="83">
        <f t="shared" si="13"/>
        <v>0</v>
      </c>
      <c r="AS20" s="83">
        <f t="shared" si="14"/>
        <v>0</v>
      </c>
      <c r="AT20" s="83">
        <f t="shared" si="15"/>
        <v>0</v>
      </c>
      <c r="AU20" s="83">
        <f t="shared" si="24"/>
        <v>0</v>
      </c>
    </row>
    <row r="21" spans="1:47" s="109" customFormat="1" ht="28.5" customHeight="1" thickBot="1" x14ac:dyDescent="0.25">
      <c r="A21" s="233" t="str">
        <f t="shared" si="16"/>
        <v/>
      </c>
      <c r="B21" s="233"/>
      <c r="C21" s="34"/>
      <c r="D21" s="4"/>
      <c r="E21" s="4"/>
      <c r="F21" s="6"/>
      <c r="G21" s="6"/>
      <c r="H21" s="4"/>
      <c r="I21" s="4"/>
      <c r="J21" s="35"/>
      <c r="K21" s="36"/>
      <c r="L21" s="5"/>
      <c r="M21" s="7"/>
      <c r="N21" s="102" t="str">
        <f>IF(OR($AG$1=0,Z21=0,AA21=0),"",VLOOKUP(AO21,VMA[#All],Reisekostenabrechnung!AP21,FALSE))</f>
        <v/>
      </c>
      <c r="O21" s="8"/>
      <c r="P21" s="8"/>
      <c r="Q21" s="8"/>
      <c r="R21" s="103" t="str">
        <f t="shared" si="0"/>
        <v/>
      </c>
      <c r="S21" s="5"/>
      <c r="T21" s="12"/>
      <c r="U21" s="105" t="str">
        <f>IF(OR($AG$1=0,$AG$3&lt;&gt;2,$AG$5&lt;&gt;1),"",IF(S21&lt;&gt;"",VLOOKUP(S21,Pauschalen!$A$1:$D$231,4,FALSE),""))</f>
        <v/>
      </c>
      <c r="V21" s="28"/>
      <c r="W21" s="32"/>
      <c r="X21" s="33"/>
      <c r="Z21" s="83">
        <f t="shared" si="1"/>
        <v>0</v>
      </c>
      <c r="AA21" s="83">
        <f t="shared" si="2"/>
        <v>0</v>
      </c>
      <c r="AB21" s="83">
        <f t="shared" si="3"/>
        <v>0</v>
      </c>
      <c r="AC21" s="110">
        <f t="shared" si="17"/>
        <v>0</v>
      </c>
      <c r="AD21" s="83">
        <f t="shared" si="18"/>
        <v>0</v>
      </c>
      <c r="AE21" s="83">
        <f t="shared" si="19"/>
        <v>0</v>
      </c>
      <c r="AF21" s="83">
        <f t="shared" si="4"/>
        <v>0</v>
      </c>
      <c r="AG21" s="83">
        <f t="shared" si="5"/>
        <v>0</v>
      </c>
      <c r="AH21" s="83">
        <f t="shared" si="6"/>
        <v>0</v>
      </c>
      <c r="AI21" s="83">
        <f t="shared" si="7"/>
        <v>0</v>
      </c>
      <c r="AJ21" s="83">
        <f t="shared" si="8"/>
        <v>0</v>
      </c>
      <c r="AK21" s="83">
        <f t="shared" si="9"/>
        <v>0</v>
      </c>
      <c r="AL21" s="83">
        <f t="shared" si="10"/>
        <v>0</v>
      </c>
      <c r="AM21" s="83">
        <f t="shared" si="11"/>
        <v>0</v>
      </c>
      <c r="AN21" s="83">
        <f t="shared" si="12"/>
        <v>0</v>
      </c>
      <c r="AO21" s="83">
        <f t="shared" ref="AO21" si="25">IF(AB21=1,AE21,IF(AF21=1,AG21,IF(AH21=1,AI21,IF(AK21=1,AL21,0))))</f>
        <v>0</v>
      </c>
      <c r="AP21" s="83">
        <f t="shared" si="21"/>
        <v>5</v>
      </c>
      <c r="AQ21" s="83" t="e">
        <f>VLOOKUP(AO21,Pauschalen!$A$1:$D$231,2,FALSE)</f>
        <v>#N/A</v>
      </c>
      <c r="AR21" s="83">
        <f t="shared" si="13"/>
        <v>0</v>
      </c>
      <c r="AS21" s="83">
        <f t="shared" si="14"/>
        <v>0</v>
      </c>
      <c r="AT21" s="83">
        <f t="shared" si="15"/>
        <v>0</v>
      </c>
      <c r="AU21" s="83">
        <f t="shared" ref="AU21" si="26">SUM(AR21:AT21)</f>
        <v>0</v>
      </c>
    </row>
    <row r="22" spans="1:47" s="109" customFormat="1" ht="28.5" customHeight="1" thickBot="1" x14ac:dyDescent="0.25">
      <c r="A22" s="233" t="str">
        <f t="shared" si="16"/>
        <v/>
      </c>
      <c r="B22" s="233"/>
      <c r="C22" s="34"/>
      <c r="D22" s="4"/>
      <c r="E22" s="4"/>
      <c r="F22" s="6"/>
      <c r="G22" s="6"/>
      <c r="H22" s="4"/>
      <c r="I22" s="4"/>
      <c r="J22" s="35"/>
      <c r="K22" s="36"/>
      <c r="L22" s="5"/>
      <c r="M22" s="7"/>
      <c r="N22" s="102" t="str">
        <f>IF(OR($AG$1=0,Z22=0,AA22=0),"",VLOOKUP(AO22,VMA[#All],Reisekostenabrechnung!AP22,FALSE))</f>
        <v/>
      </c>
      <c r="O22" s="8"/>
      <c r="P22" s="8"/>
      <c r="Q22" s="8"/>
      <c r="R22" s="103" t="str">
        <f t="shared" si="0"/>
        <v/>
      </c>
      <c r="S22" s="7"/>
      <c r="T22" s="12"/>
      <c r="U22" s="105" t="str">
        <f>IF(OR($AG$1=0,$AG$3&lt;&gt;2,$AG$5&lt;&gt;1),"",IF(S22&lt;&gt;"",VLOOKUP(S22,Pauschalen!$A$1:$D$231,4,FALSE),""))</f>
        <v/>
      </c>
      <c r="V22" s="28"/>
      <c r="W22" s="32"/>
      <c r="X22" s="33"/>
      <c r="Z22" s="83">
        <f t="shared" ref="Z22:Z23" si="27">IF(OR(C22="",D22="",E22=""),0,1)</f>
        <v>0</v>
      </c>
      <c r="AA22" s="83">
        <f t="shared" ref="AA22:AA23" si="28">IF(OR(AND(AK22=1,J22&lt;&gt;"",K22&lt;&gt;"",C22&lt;&gt;J22,C22&lt;&gt;K22),AND(E22="Mehrtägigen",L22&lt;&gt;"")),1,IF(AND(E22="eintägigen",M22&lt;&gt;""),1,0))</f>
        <v>0</v>
      </c>
      <c r="AB22" s="83">
        <f t="shared" ref="AB22:AB23" si="29">IF(E22="eintägigen",1,0)</f>
        <v>0</v>
      </c>
      <c r="AC22" s="110">
        <f t="shared" si="17"/>
        <v>0</v>
      </c>
      <c r="AD22" s="83">
        <f t="shared" si="18"/>
        <v>0</v>
      </c>
      <c r="AE22" s="83">
        <f t="shared" ref="AE22:AE23" si="30">IF(AB22=1,M22,0)</f>
        <v>0</v>
      </c>
      <c r="AF22" s="83">
        <f t="shared" ref="AF22:AF23" si="31">IF(AND(E22="mehrtägigen",AH22=0,AK22=0),1,0)</f>
        <v>0</v>
      </c>
      <c r="AG22" s="83">
        <f t="shared" ref="AG22:AG23" si="32">IF(AF22=1,IF(H22&lt;&gt;"endete",L22,IF(M22="",L22,M22)),0)</f>
        <v>0</v>
      </c>
      <c r="AH22" s="83">
        <f t="shared" ref="AH22:AH23" si="33">IF(I22="Flugzeug",1,0)</f>
        <v>0</v>
      </c>
      <c r="AI22" s="83">
        <f t="shared" ref="AI22:AI23" si="34">IF(AH22=1,IF(AND(H22="endete",M22&lt;&gt;""),M22,IF(J22=C22,L22,IF(AND(J22&lt;&gt;C22,K22=C22),L22,IF(AND(C22&lt;&gt;J22,C22&lt;&gt;K22,J22&lt;&gt;"",K22&lt;&gt;""),$AO$3,0)))),0)</f>
        <v>0</v>
      </c>
      <c r="AJ22" s="83">
        <f t="shared" ref="AJ22:AJ23" si="35">IF(AND(AH22=1,C22&lt;&gt;J22,C22=K22,L22=""),1,0)</f>
        <v>0</v>
      </c>
      <c r="AK22" s="83">
        <f t="shared" ref="AK22:AK23" si="36">IF(I22="Schiff",1,0)</f>
        <v>0</v>
      </c>
      <c r="AL22" s="83">
        <f t="shared" ref="AL22:AL23" si="37">IF(AK22=1,IF(C22=J22,L22,IF(C22=K22,L22,IF(AND(C22&lt;&gt;J22,C22&lt;&gt;K22,J22&lt;&gt;"",K22&lt;&gt;""),$AO$5,0))),0)</f>
        <v>0</v>
      </c>
      <c r="AM22" s="83">
        <f t="shared" ref="AM22:AM23" si="38">IF(AND(AK22=1,C22=J22,L22=""),1,0)</f>
        <v>0</v>
      </c>
      <c r="AN22" s="83">
        <f t="shared" ref="AN22:AN23" si="39">IF(AND(AK22=1,C22=K22,L22=""),1,0)</f>
        <v>0</v>
      </c>
      <c r="AO22" s="83">
        <f t="shared" ref="AO22:AO23" si="40">IF(AB22=1,AE22,IF(AF22=1,AG22,IF(AH22=1,AI22,IF(AK22=1,AL22,0))))</f>
        <v>0</v>
      </c>
      <c r="AP22" s="83">
        <f t="shared" si="21"/>
        <v>5</v>
      </c>
      <c r="AQ22" s="83" t="e">
        <f>VLOOKUP(AO22,Pauschalen!$A$1:$D$231,2,FALSE)</f>
        <v>#N/A</v>
      </c>
      <c r="AR22" s="83">
        <f t="shared" ref="AR22:AR23" si="41">IF(O22&lt;&gt;"",0.2,0)</f>
        <v>0</v>
      </c>
      <c r="AS22" s="83">
        <f t="shared" ref="AS22:AS23" si="42">IF(P22&lt;&gt;"",0.4,0)</f>
        <v>0</v>
      </c>
      <c r="AT22" s="83">
        <f t="shared" ref="AT22:AT23" si="43">IF(Q22&lt;&gt;"",0.4,0)</f>
        <v>0</v>
      </c>
      <c r="AU22" s="83">
        <f t="shared" ref="AU22:AU23" si="44">SUM(AR22:AT22)</f>
        <v>0</v>
      </c>
    </row>
    <row r="23" spans="1:47" s="109" customFormat="1" ht="28.5" customHeight="1" thickBot="1" x14ac:dyDescent="0.25">
      <c r="A23" s="233" t="str">
        <f t="shared" si="16"/>
        <v/>
      </c>
      <c r="B23" s="233"/>
      <c r="C23" s="34"/>
      <c r="D23" s="4"/>
      <c r="E23" s="4"/>
      <c r="F23" s="6"/>
      <c r="G23" s="6"/>
      <c r="H23" s="4"/>
      <c r="I23" s="4"/>
      <c r="J23" s="35"/>
      <c r="K23" s="36"/>
      <c r="L23" s="7"/>
      <c r="M23" s="5"/>
      <c r="N23" s="102" t="str">
        <f>IF(OR($AG$1=0,Z23=0,AA23=0),"",VLOOKUP(AO23,VMA[#All],Reisekostenabrechnung!AP23,FALSE))</f>
        <v/>
      </c>
      <c r="O23" s="8"/>
      <c r="P23" s="8"/>
      <c r="Q23" s="8"/>
      <c r="R23" s="103" t="str">
        <f t="shared" si="0"/>
        <v/>
      </c>
      <c r="S23" s="7"/>
      <c r="T23" s="12"/>
      <c r="U23" s="105" t="str">
        <f>IF(OR($AG$1=0,$AG$3&lt;&gt;2,$AG$5&lt;&gt;1),"",IF(S23&lt;&gt;"",VLOOKUP(S23,Pauschalen!$A$1:$D$231,4,FALSE),""))</f>
        <v/>
      </c>
      <c r="V23" s="28"/>
      <c r="W23" s="32"/>
      <c r="X23" s="33"/>
      <c r="Z23" s="83">
        <f t="shared" si="27"/>
        <v>0</v>
      </c>
      <c r="AA23" s="83">
        <f t="shared" si="28"/>
        <v>0</v>
      </c>
      <c r="AB23" s="83">
        <f t="shared" si="29"/>
        <v>0</v>
      </c>
      <c r="AC23" s="110">
        <f t="shared" si="17"/>
        <v>0</v>
      </c>
      <c r="AD23" s="83">
        <f t="shared" si="18"/>
        <v>0</v>
      </c>
      <c r="AE23" s="83">
        <f t="shared" si="30"/>
        <v>0</v>
      </c>
      <c r="AF23" s="83">
        <f t="shared" si="31"/>
        <v>0</v>
      </c>
      <c r="AG23" s="83">
        <f t="shared" si="32"/>
        <v>0</v>
      </c>
      <c r="AH23" s="83">
        <f t="shared" si="33"/>
        <v>0</v>
      </c>
      <c r="AI23" s="83">
        <f t="shared" si="34"/>
        <v>0</v>
      </c>
      <c r="AJ23" s="83">
        <f t="shared" si="35"/>
        <v>0</v>
      </c>
      <c r="AK23" s="83">
        <f t="shared" si="36"/>
        <v>0</v>
      </c>
      <c r="AL23" s="83">
        <f t="shared" si="37"/>
        <v>0</v>
      </c>
      <c r="AM23" s="83">
        <f t="shared" si="38"/>
        <v>0</v>
      </c>
      <c r="AN23" s="83">
        <f t="shared" si="39"/>
        <v>0</v>
      </c>
      <c r="AO23" s="83">
        <f t="shared" si="40"/>
        <v>0</v>
      </c>
      <c r="AP23" s="83">
        <f t="shared" si="21"/>
        <v>5</v>
      </c>
      <c r="AQ23" s="83" t="e">
        <f>VLOOKUP(AO23,Pauschalen!$A$1:$D$231,2,FALSE)</f>
        <v>#N/A</v>
      </c>
      <c r="AR23" s="83">
        <f t="shared" si="41"/>
        <v>0</v>
      </c>
      <c r="AS23" s="83">
        <f t="shared" si="42"/>
        <v>0</v>
      </c>
      <c r="AT23" s="83">
        <f t="shared" si="43"/>
        <v>0</v>
      </c>
      <c r="AU23" s="83">
        <f t="shared" si="44"/>
        <v>0</v>
      </c>
    </row>
    <row r="24" spans="1:47" s="109" customFormat="1" ht="28.5" customHeight="1" thickBot="1" x14ac:dyDescent="0.25">
      <c r="A24" s="233" t="str">
        <f t="shared" si="16"/>
        <v/>
      </c>
      <c r="B24" s="233"/>
      <c r="C24" s="34"/>
      <c r="D24" s="4"/>
      <c r="E24" s="4"/>
      <c r="F24" s="6"/>
      <c r="G24" s="6"/>
      <c r="H24" s="4"/>
      <c r="I24" s="4"/>
      <c r="J24" s="35"/>
      <c r="K24" s="36"/>
      <c r="L24" s="7"/>
      <c r="M24" s="7"/>
      <c r="N24" s="102" t="str">
        <f>IF(OR($AG$1=0,Z24=0,AA24=0),"",VLOOKUP(AO24,VMA[#All],Reisekostenabrechnung!AP24,FALSE))</f>
        <v/>
      </c>
      <c r="O24" s="8"/>
      <c r="P24" s="8"/>
      <c r="Q24" s="8"/>
      <c r="R24" s="103" t="str">
        <f t="shared" si="0"/>
        <v/>
      </c>
      <c r="S24" s="7"/>
      <c r="T24" s="12"/>
      <c r="U24" s="105" t="str">
        <f>IF(OR($AG$1=0,$AG$3&lt;&gt;2,$AG$5&lt;&gt;1),"",IF(S24&lt;&gt;"",VLOOKUP(S24,Pauschalen!$A$1:$D$231,4,FALSE),""))</f>
        <v/>
      </c>
      <c r="V24" s="28"/>
      <c r="W24" s="32"/>
      <c r="X24" s="33"/>
      <c r="Z24" s="83">
        <f>IF(OR(C24="",D24="",E24=""),0,1)</f>
        <v>0</v>
      </c>
      <c r="AA24" s="83">
        <f>IF(OR(AND(AK24=1,J24&lt;&gt;"",K24&lt;&gt;"",C24&lt;&gt;J24,C24&lt;&gt;K24),AND(E24="Mehrtägigen",L24&lt;&gt;"")),1,IF(AND(E24="eintägigen",M24&lt;&gt;""),1,0))</f>
        <v>0</v>
      </c>
      <c r="AB24" s="83">
        <f>IF(E24="eintägigen",1,0)</f>
        <v>0</v>
      </c>
      <c r="AC24" s="110">
        <f t="shared" si="17"/>
        <v>0</v>
      </c>
      <c r="AD24" s="83">
        <f t="shared" si="18"/>
        <v>0</v>
      </c>
      <c r="AE24" s="83">
        <f>IF(AB24=1,M24,0)</f>
        <v>0</v>
      </c>
      <c r="AF24" s="83">
        <f>IF(AND(E24="mehrtägigen",AH24=0,AK24=0),1,0)</f>
        <v>0</v>
      </c>
      <c r="AG24" s="83">
        <f>IF(AF24=1,IF(H24&lt;&gt;"endete",L24,IF(M24="",L24,M24)),0)</f>
        <v>0</v>
      </c>
      <c r="AH24" s="83">
        <f>IF(I24="Flugzeug",1,0)</f>
        <v>0</v>
      </c>
      <c r="AI24" s="83">
        <f>IF(AH24=1,IF(AND(H24="endete",M24&lt;&gt;""),M24,IF(J24=C24,L24,IF(AND(J24&lt;&gt;C24,K24=C24),L24,IF(AND(C24&lt;&gt;J24,C24&lt;&gt;K24,J24&lt;&gt;"",K24&lt;&gt;""),$AO$3,0)))),0)</f>
        <v>0</v>
      </c>
      <c r="AJ24" s="83">
        <f>IF(AND(AH24=1,C24&lt;&gt;J24,C24=K24,L24=""),1,0)</f>
        <v>0</v>
      </c>
      <c r="AK24" s="83">
        <f>IF(I24="Schiff",1,0)</f>
        <v>0</v>
      </c>
      <c r="AL24" s="83">
        <f>IF(AK24=1,IF(C24=J24,L24,IF(C24=K24,L24,IF(AND(C24&lt;&gt;J24,C24&lt;&gt;K24,J24&lt;&gt;"",K24&lt;&gt;""),$AO$5,0))),0)</f>
        <v>0</v>
      </c>
      <c r="AM24" s="83">
        <f>IF(AND(AK24=1,C24=J24,L24=""),1,0)</f>
        <v>0</v>
      </c>
      <c r="AN24" s="83">
        <f>IF(AND(AK24=1,C24=K24,L24=""),1,0)</f>
        <v>0</v>
      </c>
      <c r="AO24" s="83">
        <f t="shared" si="23"/>
        <v>0</v>
      </c>
      <c r="AP24" s="83">
        <f t="shared" si="21"/>
        <v>5</v>
      </c>
      <c r="AQ24" s="83" t="e">
        <f>VLOOKUP(AO24,Pauschalen!$A$1:$D$231,2,FALSE)</f>
        <v>#N/A</v>
      </c>
      <c r="AR24" s="83">
        <f>IF(O24&lt;&gt;"",0.2,0)</f>
        <v>0</v>
      </c>
      <c r="AS24" s="83">
        <f>IF(P24&lt;&gt;"",0.4,0)</f>
        <v>0</v>
      </c>
      <c r="AT24" s="83">
        <f>IF(Q24&lt;&gt;"",0.4,0)</f>
        <v>0</v>
      </c>
      <c r="AU24" s="83">
        <f t="shared" si="24"/>
        <v>0</v>
      </c>
    </row>
    <row r="25" spans="1:47" s="109" customFormat="1" ht="28.5" customHeight="1" thickBot="1" x14ac:dyDescent="0.25">
      <c r="A25" s="233" t="str">
        <f t="shared" si="16"/>
        <v/>
      </c>
      <c r="B25" s="233"/>
      <c r="C25" s="34"/>
      <c r="D25" s="4"/>
      <c r="E25" s="4"/>
      <c r="F25" s="6"/>
      <c r="G25" s="6"/>
      <c r="H25" s="4"/>
      <c r="I25" s="4"/>
      <c r="J25" s="35"/>
      <c r="K25" s="35"/>
      <c r="L25" s="5"/>
      <c r="M25" s="7"/>
      <c r="N25" s="102" t="str">
        <f>IF(OR($AG$1=0,Z25=0,AA25=0),"",VLOOKUP(AO25,VMA[#All],Reisekostenabrechnung!AP25,FALSE))</f>
        <v/>
      </c>
      <c r="O25" s="6"/>
      <c r="P25" s="6"/>
      <c r="Q25" s="6"/>
      <c r="R25" s="103" t="str">
        <f t="shared" si="0"/>
        <v/>
      </c>
      <c r="S25" s="5"/>
      <c r="T25" s="11"/>
      <c r="U25" s="105" t="str">
        <f>IF(OR($AG$1=0,$AG$3&lt;&gt;2,$AG$5&lt;&gt;1),"",IF(S25&lt;&gt;"",VLOOKUP(S25,Pauschalen!$A$1:$D$231,4,FALSE),""))</f>
        <v/>
      </c>
      <c r="V25" s="28"/>
      <c r="W25" s="9"/>
      <c r="X25" s="30"/>
      <c r="Z25" s="83">
        <f>IF(OR(C25="",D25="",E25=""),0,1)</f>
        <v>0</v>
      </c>
      <c r="AA25" s="83">
        <f>IF(OR(AND(AK25=1,J25&lt;&gt;"",K25&lt;&gt;"",C25&lt;&gt;J25,C25&lt;&gt;K25),AND(E25="Mehrtägigen",L25&lt;&gt;"")),1,IF(AND(E25="eintägigen",M25&lt;&gt;""),1,0))</f>
        <v>0</v>
      </c>
      <c r="AB25" s="83">
        <f>IF(E25="eintägigen",1,0)</f>
        <v>0</v>
      </c>
      <c r="AC25" s="110">
        <f t="shared" si="17"/>
        <v>0</v>
      </c>
      <c r="AD25" s="83">
        <f t="shared" si="18"/>
        <v>0</v>
      </c>
      <c r="AE25" s="83">
        <f>IF(AB25=1,M25,0)</f>
        <v>0</v>
      </c>
      <c r="AF25" s="83">
        <f>IF(AND(E25="mehrtägigen",AH25=0,AK25=0),1,0)</f>
        <v>0</v>
      </c>
      <c r="AG25" s="83">
        <f>IF(AF25=1,IF(H25&lt;&gt;"endete",L25,IF(M25="",L25,M25)),0)</f>
        <v>0</v>
      </c>
      <c r="AH25" s="83">
        <f>IF(I25="Flugzeug",1,0)</f>
        <v>0</v>
      </c>
      <c r="AI25" s="83">
        <f>IF(AH25=1,IF(AND(H25="endete",M25&lt;&gt;""),M25,IF(J25=C25,L25,IF(AND(J25&lt;&gt;C25,K25=C25),L25,IF(AND(C25&lt;&gt;J25,C25&lt;&gt;K25,J25&lt;&gt;"",K25&lt;&gt;""),$AO$3,0)))),0)</f>
        <v>0</v>
      </c>
      <c r="AJ25" s="83">
        <f>IF(AND(AH25=1,C25&lt;&gt;J25,C25=K25,L25=""),1,0)</f>
        <v>0</v>
      </c>
      <c r="AK25" s="83">
        <f>IF(I25="Schiff",1,0)</f>
        <v>0</v>
      </c>
      <c r="AL25" s="83">
        <f>IF(AK25=1,IF(C25=J25,L25,IF(C25=K25,L25,IF(AND(C25&lt;&gt;J25,C25&lt;&gt;K25,J25&lt;&gt;"",K25&lt;&gt;""),$AO$5,0))),0)</f>
        <v>0</v>
      </c>
      <c r="AM25" s="83">
        <f>IF(AND(AK25=1,C25=J25,L25=""),1,0)</f>
        <v>0</v>
      </c>
      <c r="AN25" s="83">
        <f>IF(AND(AK25=1,C25=K25,L25=""),1,0)</f>
        <v>0</v>
      </c>
      <c r="AO25" s="83">
        <f t="shared" si="23"/>
        <v>0</v>
      </c>
      <c r="AP25" s="83">
        <f t="shared" si="21"/>
        <v>5</v>
      </c>
      <c r="AQ25" s="83" t="e">
        <f>VLOOKUP(AO25,Pauschalen!$A$1:$D$231,2,FALSE)</f>
        <v>#N/A</v>
      </c>
      <c r="AR25" s="83">
        <f>IF(O25&lt;&gt;"",0.2,0)</f>
        <v>0</v>
      </c>
      <c r="AS25" s="83">
        <f>IF(P25&lt;&gt;"",0.4,0)</f>
        <v>0</v>
      </c>
      <c r="AT25" s="83">
        <f>IF(Q25&lt;&gt;"",0.4,0)</f>
        <v>0</v>
      </c>
      <c r="AU25" s="83">
        <f t="shared" si="24"/>
        <v>0</v>
      </c>
    </row>
    <row r="26" spans="1:47" s="109" customFormat="1" ht="15" customHeight="1" thickBot="1" x14ac:dyDescent="0.25">
      <c r="A26" s="123"/>
      <c r="B26" s="123"/>
      <c r="C26" s="124" t="s">
        <v>316</v>
      </c>
      <c r="D26" s="125"/>
      <c r="E26" s="125"/>
      <c r="F26" s="125"/>
      <c r="G26" s="125"/>
      <c r="H26" s="125"/>
      <c r="I26" s="125"/>
      <c r="J26" s="125"/>
      <c r="K26" s="125"/>
      <c r="L26" s="126"/>
      <c r="M26" s="126"/>
      <c r="N26" s="127">
        <f>SUM(N11:N25)</f>
        <v>0</v>
      </c>
      <c r="O26" s="128"/>
      <c r="P26" s="128"/>
      <c r="Q26" s="128"/>
      <c r="R26" s="129">
        <f>SUM(R11:R25)</f>
        <v>0</v>
      </c>
      <c r="S26" s="129"/>
      <c r="T26" s="129">
        <f>SUM(T11:T25)</f>
        <v>0</v>
      </c>
      <c r="U26" s="127">
        <f>SUM(U11:U25)</f>
        <v>0</v>
      </c>
      <c r="V26" s="129"/>
      <c r="W26" s="127"/>
      <c r="X26" s="130">
        <f>SUM(X11:X25)</f>
        <v>0</v>
      </c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</row>
    <row r="27" spans="1:47" s="131" customFormat="1" ht="5.0999999999999996" customHeight="1" thickBot="1" x14ac:dyDescent="0.25">
      <c r="B27" s="132"/>
      <c r="C27" s="133"/>
      <c r="D27" s="134"/>
      <c r="E27" s="134"/>
      <c r="F27" s="134"/>
      <c r="G27" s="134"/>
      <c r="H27" s="134"/>
      <c r="I27" s="134"/>
      <c r="J27" s="134"/>
      <c r="K27" s="134"/>
      <c r="L27" s="134"/>
      <c r="M27" s="134"/>
      <c r="N27" s="135"/>
      <c r="O27" s="136"/>
      <c r="P27" s="136"/>
      <c r="Q27" s="136"/>
      <c r="R27" s="10"/>
      <c r="S27" s="10"/>
      <c r="T27" s="134"/>
      <c r="U27" s="137"/>
      <c r="V27" s="137"/>
      <c r="W27" s="137"/>
      <c r="X27" s="134"/>
    </row>
    <row r="28" spans="1:47" s="138" customFormat="1" ht="15" customHeight="1" thickBot="1" x14ac:dyDescent="0.25">
      <c r="C28" s="139" t="str">
        <f>IF(AG3=2,"Verpflegungsmehraufwendungen abzgl. Kürzungen","Verpflegungsmehraufwendungen")</f>
        <v>Verpflegungsmehraufwendungen</v>
      </c>
      <c r="D28" s="140"/>
      <c r="E28" s="140"/>
      <c r="F28" s="140"/>
      <c r="G28" s="140"/>
      <c r="H28" s="140"/>
      <c r="I28" s="140"/>
      <c r="J28" s="140"/>
      <c r="K28" s="140"/>
      <c r="L28" s="141" t="str">
        <f>IF(OR($AG$3=1,AND($AG$3=2,$AG$5=2)),"Ansatz mit:",IF($AG$5=1,"Erstattung erfolgt lt. betriebl. Vereinbarung:",""))</f>
        <v/>
      </c>
      <c r="M28" s="240"/>
      <c r="N28" s="240"/>
      <c r="O28" s="240"/>
      <c r="P28" s="240"/>
      <c r="Q28" s="240"/>
      <c r="R28" s="240"/>
      <c r="S28" s="14"/>
      <c r="T28" s="314"/>
      <c r="U28" s="14"/>
      <c r="V28" s="14"/>
      <c r="W28" s="295">
        <f>IF(AG5=1,IF(AB28=3,T28,IF(AB28=1,R26,0)),IF(AG3=1,N26,R26))</f>
        <v>0</v>
      </c>
      <c r="X28" s="296"/>
      <c r="Y28" s="142"/>
      <c r="Z28" s="143" t="s">
        <v>286</v>
      </c>
      <c r="AA28" s="144"/>
      <c r="AB28" s="144" t="str">
        <f>IF(M28="in Höhe der gesetzlichen Pauschalen",1,IF(M28="mit einem individuellen Betrag in Höhe von:",3,""))</f>
        <v/>
      </c>
      <c r="AC28" s="144"/>
      <c r="AD28" s="144"/>
      <c r="AE28" s="144"/>
      <c r="AF28" s="144"/>
      <c r="AG28" s="144"/>
      <c r="AH28" s="144"/>
      <c r="AI28" s="144"/>
      <c r="AJ28" s="144"/>
      <c r="AK28" s="144"/>
      <c r="AL28" s="144"/>
      <c r="AM28" s="144"/>
      <c r="AN28" s="144"/>
      <c r="AO28" s="144"/>
      <c r="AP28" s="144"/>
      <c r="AQ28" s="144"/>
      <c r="AR28" s="144"/>
      <c r="AS28" s="144"/>
      <c r="AT28" s="144"/>
      <c r="AU28" s="144"/>
    </row>
    <row r="29" spans="1:47" s="138" customFormat="1" ht="5.0999999999999996" customHeight="1" thickBot="1" x14ac:dyDescent="0.25">
      <c r="C29" s="145"/>
      <c r="D29" s="146"/>
      <c r="E29" s="146"/>
      <c r="F29" s="146"/>
      <c r="G29" s="146"/>
      <c r="H29" s="146"/>
      <c r="I29" s="146"/>
      <c r="J29" s="146"/>
      <c r="K29" s="146"/>
      <c r="L29" s="147"/>
      <c r="M29" s="147"/>
      <c r="N29" s="148"/>
      <c r="Q29" s="2"/>
      <c r="U29" s="149"/>
      <c r="V29" s="149"/>
      <c r="W29" s="149"/>
      <c r="X29" s="150"/>
    </row>
    <row r="30" spans="1:47" s="138" customFormat="1" ht="15" customHeight="1" thickBot="1" x14ac:dyDescent="0.25">
      <c r="C30" s="151" t="s">
        <v>0</v>
      </c>
      <c r="D30" s="152"/>
      <c r="E30" s="152"/>
      <c r="F30" s="152"/>
      <c r="G30" s="152"/>
      <c r="H30" s="152"/>
      <c r="I30" s="152"/>
      <c r="J30" s="141"/>
      <c r="K30" s="141"/>
      <c r="L30" s="141" t="str">
        <f>IF(OR($AG$3=1,AND($AG$3=2,$AG$5=2)),"Ansatz mit:",IF($AG$5=1,"Erstattung erfolgt lt. betriebl. Vereinbarung:",""))</f>
        <v/>
      </c>
      <c r="M30" s="248"/>
      <c r="N30" s="248"/>
      <c r="O30" s="248"/>
      <c r="P30" s="248"/>
      <c r="Q30" s="248"/>
      <c r="R30" s="248"/>
      <c r="S30" s="1"/>
      <c r="T30" s="22"/>
      <c r="U30" s="1"/>
      <c r="V30" s="1"/>
      <c r="W30" s="295">
        <f>IF(OR(AG3=0,AG3=1),0,IF(AG5=2,T26,IF(AB30=1,T26,IF(AB30=2,U26,IF(AB30=3,T30,0)))))</f>
        <v>0</v>
      </c>
      <c r="X30" s="296"/>
      <c r="AB30" s="138" t="str">
        <f>IF(M30="in Höhe der tatsächlichen Aufwendungen",1,IF(M30="in Höhe der erstattungsfähigen Pauschalen",2,IF(M30="mit einem individuellen Betrag in Höhe von:",3,"")))</f>
        <v/>
      </c>
    </row>
    <row r="31" spans="1:47" s="138" customFormat="1" ht="5.0999999999999996" customHeight="1" thickBot="1" x14ac:dyDescent="0.25">
      <c r="C31" s="153"/>
      <c r="D31" s="154"/>
      <c r="E31" s="154"/>
      <c r="F31" s="154"/>
      <c r="G31" s="154"/>
      <c r="H31" s="154"/>
      <c r="I31" s="154"/>
      <c r="J31" s="154"/>
      <c r="K31" s="155"/>
      <c r="L31" s="156"/>
      <c r="M31" s="156"/>
      <c r="N31" s="148"/>
      <c r="O31" s="3"/>
      <c r="P31" s="3"/>
      <c r="Q31" s="2"/>
      <c r="R31" s="3"/>
      <c r="S31" s="3"/>
      <c r="T31" s="3"/>
      <c r="U31" s="3"/>
      <c r="V31" s="13"/>
      <c r="W31" s="3"/>
      <c r="X31" s="150"/>
    </row>
    <row r="32" spans="1:47" s="138" customFormat="1" ht="15" customHeight="1" thickBot="1" x14ac:dyDescent="0.25">
      <c r="C32" s="157" t="s">
        <v>294</v>
      </c>
      <c r="D32" s="158"/>
      <c r="E32" s="159" t="s">
        <v>295</v>
      </c>
      <c r="F32" s="159"/>
      <c r="G32" s="159"/>
      <c r="H32" s="160" t="s">
        <v>292</v>
      </c>
      <c r="I32" s="161">
        <f>SUMIFS(W11:W25,V11:V25,"pkw")</f>
        <v>0</v>
      </c>
      <c r="J32" s="162"/>
      <c r="K32" s="163"/>
      <c r="L32" s="160" t="str">
        <f>IF(OR($AG$3=1,AND($AG$3=2,$AG$5=2)),"Ansatz mit:",IF($AG$5=1,"Erstattung erfolgt lt. betriebl. Vereinbarung:",""))</f>
        <v/>
      </c>
      <c r="M32" s="246"/>
      <c r="N32" s="246"/>
      <c r="O32" s="246"/>
      <c r="P32" s="246"/>
      <c r="Q32" s="246"/>
      <c r="R32" s="315"/>
      <c r="S32" s="165" t="str">
        <f>IF(OR($AG$3=1,AB32=1,AND($AG$3=2,$AG$5=2)),""&amp;AG32&amp;" € / km","€ / km")</f>
        <v>€ / km</v>
      </c>
      <c r="T32" s="18">
        <f>IF(AND($AG$3=2,$AG$5=1),IF(AND(M32&lt;&gt;"",AB32=1),AG32*I32,IF(AND(M32&lt;&gt;"",AB32=3),R32*I32,0)),AG32*I32)</f>
        <v>0</v>
      </c>
      <c r="U32" s="1"/>
      <c r="V32" s="1"/>
      <c r="W32" s="295">
        <f>IF(AND(AG3=1,AG1=1),X26+SUM(T32:T34),IF(AB35=1,X26,IF(AB35=3,T35,0))+SUM(T32:T34))</f>
        <v>0</v>
      </c>
      <c r="X32" s="296"/>
      <c r="AB32" s="138" t="str">
        <f>IF(M32="nach dem gesetzlichen km-satz von:",1,IF(M32="mit einem km-satz von:",3,""))</f>
        <v/>
      </c>
      <c r="AF32" s="166" t="s">
        <v>318</v>
      </c>
      <c r="AG32" s="167">
        <v>0.3</v>
      </c>
    </row>
    <row r="33" spans="3:33" s="138" customFormat="1" ht="15" customHeight="1" x14ac:dyDescent="0.2">
      <c r="C33" s="243" t="s">
        <v>342</v>
      </c>
      <c r="D33" s="244"/>
      <c r="E33" s="168" t="s">
        <v>289</v>
      </c>
      <c r="F33" s="168"/>
      <c r="G33" s="168"/>
      <c r="H33" s="155" t="s">
        <v>292</v>
      </c>
      <c r="I33" s="169">
        <f>SUMIFS(W11:W25,V11:V25,"sonst. kfz")</f>
        <v>0</v>
      </c>
      <c r="J33" s="170"/>
      <c r="L33" s="155" t="str">
        <f t="shared" ref="L33:L35" si="45">IF(OR($AG$3=1,AND($AG$3=2,$AG$5=2)),"Ansatz mit:",IF($AG$5=1,"Erstattung erfolgt lt. betriebl. Vereinbarung:",""))</f>
        <v/>
      </c>
      <c r="M33" s="247"/>
      <c r="N33" s="247"/>
      <c r="O33" s="247"/>
      <c r="P33" s="247"/>
      <c r="Q33" s="247"/>
      <c r="R33" s="316"/>
      <c r="S33" s="172" t="str">
        <f>IF(OR($AG$3=1,AB33=1,AND($AG$3=2,$AG$5=2)),""&amp;AG33&amp;" € / km","€ / km")</f>
        <v>€ / km</v>
      </c>
      <c r="T33" s="19">
        <f>IF(AND($AG$3=2,$AG$5=1),IF(AND(M33&lt;&gt;"",AB33=1),AG33*I33,IF(AND(M33&lt;&gt;"",AB33=3),R33*I33,0)),AG33*I33)</f>
        <v>0</v>
      </c>
      <c r="U33" s="15"/>
      <c r="V33" s="15"/>
      <c r="W33" s="16"/>
      <c r="X33" s="17"/>
      <c r="AB33" s="138" t="str">
        <f>IF(M33="nach dem gesetzlichen km-satz von:",1,IF(M33="mit einem km-satz von:",3,""))</f>
        <v/>
      </c>
      <c r="AF33" s="166" t="s">
        <v>318</v>
      </c>
      <c r="AG33" s="167">
        <v>0.2</v>
      </c>
    </row>
    <row r="34" spans="3:33" s="138" customFormat="1" ht="12.75" customHeight="1" x14ac:dyDescent="0.2">
      <c r="C34" s="245"/>
      <c r="D34" s="244"/>
      <c r="E34" s="168" t="s">
        <v>290</v>
      </c>
      <c r="F34" s="168"/>
      <c r="G34" s="168"/>
      <c r="H34" s="155" t="s">
        <v>292</v>
      </c>
      <c r="I34" s="169">
        <f>SUMIFS(W11:W25,V11:V25,"fahrrad")</f>
        <v>0</v>
      </c>
      <c r="J34" s="173"/>
      <c r="L34" s="155" t="str">
        <f t="shared" si="45"/>
        <v/>
      </c>
      <c r="M34" s="138" t="str">
        <f>IF($AG$5=1,"mit:","")</f>
        <v/>
      </c>
      <c r="N34" s="171"/>
      <c r="O34" s="171"/>
      <c r="P34" s="174"/>
      <c r="Q34" s="174"/>
      <c r="R34" s="175"/>
      <c r="T34" s="21"/>
      <c r="U34" s="177"/>
      <c r="V34" s="177"/>
      <c r="X34" s="150"/>
    </row>
    <row r="35" spans="3:33" s="138" customFormat="1" ht="12" customHeight="1" x14ac:dyDescent="0.2">
      <c r="C35" s="178" t="s">
        <v>343</v>
      </c>
      <c r="J35" s="173"/>
      <c r="L35" s="155" t="str">
        <f t="shared" si="45"/>
        <v/>
      </c>
      <c r="M35" s="294"/>
      <c r="N35" s="294"/>
      <c r="O35" s="294"/>
      <c r="P35" s="294"/>
      <c r="Q35" s="294"/>
      <c r="R35" s="294"/>
      <c r="S35" s="175"/>
      <c r="T35" s="37"/>
      <c r="U35" s="177"/>
      <c r="V35" s="177"/>
      <c r="W35" s="177"/>
      <c r="X35" s="150"/>
      <c r="AB35" s="138" t="str">
        <f>IF(M35="in Höhe der tatsächlichen Aufwendungen",1,IF(M35="mit einem individuellen Betrag in Höhe von:",3,""))</f>
        <v/>
      </c>
    </row>
    <row r="36" spans="3:33" s="138" customFormat="1" ht="5.0999999999999996" customHeight="1" thickBot="1" x14ac:dyDescent="0.25">
      <c r="C36" s="142"/>
      <c r="L36" s="180"/>
      <c r="M36" s="180"/>
      <c r="N36" s="175"/>
      <c r="Q36" s="175"/>
      <c r="R36" s="175"/>
      <c r="S36" s="175"/>
      <c r="T36" s="175"/>
      <c r="U36" s="177"/>
      <c r="V36" s="177"/>
      <c r="W36" s="177"/>
      <c r="X36" s="150"/>
    </row>
    <row r="37" spans="3:33" s="138" customFormat="1" ht="17.45" customHeight="1" thickBot="1" x14ac:dyDescent="0.25">
      <c r="C37" s="181" t="s">
        <v>205</v>
      </c>
      <c r="D37" s="182"/>
      <c r="E37" s="182"/>
      <c r="F37" s="182"/>
      <c r="G37" s="182"/>
      <c r="H37" s="182"/>
      <c r="I37" s="182" t="str">
        <f>IF((($S$3)="")," ",$S$3)</f>
        <v xml:space="preserve"> </v>
      </c>
      <c r="J37" s="182"/>
      <c r="K37" s="182"/>
      <c r="L37" s="182"/>
      <c r="M37" s="182"/>
      <c r="N37" s="183"/>
      <c r="O37" s="183"/>
      <c r="P37" s="183"/>
      <c r="Q37" s="183"/>
      <c r="R37" s="183"/>
      <c r="S37" s="183"/>
      <c r="T37" s="183"/>
      <c r="U37" s="183"/>
      <c r="V37" s="183"/>
      <c r="W37" s="241">
        <f>W28+W30+W32</f>
        <v>0</v>
      </c>
      <c r="X37" s="242"/>
    </row>
    <row r="38" spans="3:33" s="184" customFormat="1" ht="12" x14ac:dyDescent="0.2">
      <c r="N38" s="185"/>
      <c r="O38" s="186"/>
      <c r="P38" s="186"/>
      <c r="Q38" s="186"/>
      <c r="R38" s="186"/>
      <c r="S38" s="186"/>
      <c r="U38" s="187"/>
      <c r="V38" s="187"/>
      <c r="W38" s="187"/>
    </row>
    <row r="39" spans="3:33" s="184" customFormat="1" ht="12" x14ac:dyDescent="0.2">
      <c r="N39" s="185"/>
      <c r="O39" s="186"/>
      <c r="P39" s="186"/>
      <c r="Q39" s="186"/>
      <c r="R39" s="186"/>
      <c r="S39" s="186"/>
      <c r="U39" s="187"/>
      <c r="V39" s="187"/>
      <c r="W39" s="187"/>
    </row>
    <row r="40" spans="3:33" s="184" customFormat="1" ht="12" x14ac:dyDescent="0.2">
      <c r="N40" s="185"/>
      <c r="O40" s="186"/>
      <c r="P40" s="186"/>
      <c r="Q40" s="186"/>
      <c r="R40" s="186"/>
      <c r="S40" s="186"/>
      <c r="U40" s="187"/>
      <c r="V40" s="187"/>
      <c r="W40" s="187"/>
    </row>
    <row r="41" spans="3:33" s="184" customFormat="1" ht="12" x14ac:dyDescent="0.2">
      <c r="N41" s="185"/>
      <c r="O41" s="186"/>
      <c r="P41" s="186"/>
      <c r="Q41" s="186"/>
      <c r="R41" s="186"/>
      <c r="S41" s="186"/>
      <c r="U41" s="187"/>
      <c r="V41" s="187"/>
      <c r="W41" s="187"/>
    </row>
    <row r="42" spans="3:33" s="184" customFormat="1" ht="12" x14ac:dyDescent="0.2">
      <c r="N42" s="185"/>
      <c r="O42" s="186"/>
      <c r="P42" s="186"/>
      <c r="Q42" s="186"/>
      <c r="R42" s="186"/>
      <c r="S42" s="186"/>
      <c r="U42" s="187"/>
      <c r="V42" s="187"/>
      <c r="W42" s="187"/>
    </row>
    <row r="43" spans="3:33" s="184" customFormat="1" ht="12" x14ac:dyDescent="0.2">
      <c r="N43" s="185"/>
      <c r="O43" s="186"/>
      <c r="P43" s="186"/>
      <c r="Q43" s="186"/>
      <c r="R43" s="186"/>
      <c r="S43" s="186"/>
      <c r="U43" s="187"/>
      <c r="V43" s="187"/>
      <c r="W43" s="187"/>
    </row>
    <row r="44" spans="3:33" s="184" customFormat="1" ht="12" x14ac:dyDescent="0.2">
      <c r="N44" s="185"/>
      <c r="O44" s="186"/>
      <c r="P44" s="186"/>
      <c r="Q44" s="186"/>
      <c r="R44" s="186"/>
      <c r="S44" s="186"/>
      <c r="U44" s="187"/>
      <c r="V44" s="187"/>
      <c r="W44" s="187"/>
    </row>
    <row r="45" spans="3:33" s="184" customFormat="1" ht="12" x14ac:dyDescent="0.2">
      <c r="N45" s="185"/>
      <c r="O45" s="186"/>
      <c r="P45" s="186"/>
      <c r="Q45" s="186"/>
      <c r="R45" s="186"/>
      <c r="S45" s="186"/>
      <c r="U45" s="187"/>
      <c r="V45" s="187"/>
      <c r="W45" s="187"/>
    </row>
    <row r="46" spans="3:33" s="184" customFormat="1" ht="12" x14ac:dyDescent="0.2">
      <c r="N46" s="185"/>
      <c r="O46" s="186"/>
      <c r="P46" s="186"/>
      <c r="Q46" s="186"/>
      <c r="R46" s="186"/>
      <c r="S46" s="186"/>
      <c r="U46" s="187"/>
      <c r="V46" s="187"/>
      <c r="W46" s="187"/>
    </row>
    <row r="47" spans="3:33" s="184" customFormat="1" ht="12" x14ac:dyDescent="0.2">
      <c r="N47" s="185"/>
      <c r="O47" s="186"/>
      <c r="P47" s="186"/>
      <c r="Q47" s="186"/>
      <c r="R47" s="186"/>
      <c r="S47" s="186"/>
      <c r="U47" s="187"/>
      <c r="V47" s="187"/>
      <c r="W47" s="187"/>
    </row>
    <row r="48" spans="3:33" s="184" customFormat="1" ht="12" x14ac:dyDescent="0.2">
      <c r="N48" s="185"/>
      <c r="O48" s="186"/>
      <c r="P48" s="186"/>
      <c r="Q48" s="186"/>
      <c r="R48" s="186"/>
      <c r="S48" s="186"/>
      <c r="U48" s="187"/>
      <c r="V48" s="187"/>
      <c r="W48" s="187"/>
    </row>
    <row r="49" spans="3:23" s="184" customFormat="1" ht="12" x14ac:dyDescent="0.2">
      <c r="N49" s="185"/>
      <c r="O49" s="186"/>
      <c r="P49" s="186"/>
      <c r="Q49" s="186"/>
      <c r="R49" s="186"/>
      <c r="S49" s="186"/>
      <c r="U49" s="187"/>
      <c r="V49" s="187"/>
      <c r="W49" s="187"/>
    </row>
    <row r="50" spans="3:23" s="184" customFormat="1" ht="12" x14ac:dyDescent="0.2">
      <c r="N50" s="185"/>
      <c r="O50" s="186"/>
      <c r="P50" s="186"/>
      <c r="Q50" s="186"/>
      <c r="R50" s="186"/>
      <c r="S50" s="186"/>
      <c r="U50" s="187"/>
      <c r="V50" s="187"/>
      <c r="W50" s="187"/>
    </row>
    <row r="51" spans="3:23" s="184" customFormat="1" ht="12" x14ac:dyDescent="0.2">
      <c r="N51" s="185"/>
      <c r="O51" s="186"/>
      <c r="P51" s="186"/>
      <c r="Q51" s="186"/>
      <c r="R51" s="186"/>
      <c r="S51" s="186"/>
      <c r="U51" s="187"/>
      <c r="V51" s="187"/>
      <c r="W51" s="187"/>
    </row>
    <row r="52" spans="3:23" s="185" customFormat="1" ht="12" x14ac:dyDescent="0.2">
      <c r="C52" s="184"/>
      <c r="D52" s="184"/>
      <c r="E52" s="184"/>
      <c r="F52" s="184"/>
      <c r="G52" s="184"/>
      <c r="H52" s="184"/>
      <c r="I52" s="184"/>
      <c r="J52" s="184"/>
      <c r="K52" s="184"/>
      <c r="L52" s="184"/>
      <c r="M52" s="184"/>
      <c r="O52" s="186"/>
      <c r="P52" s="186"/>
      <c r="Q52" s="186"/>
      <c r="R52" s="186"/>
      <c r="S52" s="186"/>
      <c r="T52" s="184"/>
      <c r="U52" s="187"/>
      <c r="V52" s="187"/>
      <c r="W52" s="187"/>
    </row>
    <row r="53" spans="3:23" s="185" customFormat="1" ht="12" x14ac:dyDescent="0.2">
      <c r="C53" s="184"/>
      <c r="D53" s="184"/>
      <c r="E53" s="184"/>
      <c r="F53" s="184"/>
      <c r="G53" s="184"/>
      <c r="H53" s="184"/>
      <c r="I53" s="184"/>
      <c r="J53" s="184"/>
      <c r="K53" s="184"/>
      <c r="L53" s="184"/>
      <c r="M53" s="184"/>
      <c r="O53" s="186"/>
      <c r="P53" s="186"/>
      <c r="Q53" s="186"/>
      <c r="R53" s="186"/>
      <c r="S53" s="186"/>
      <c r="T53" s="184"/>
      <c r="U53" s="187"/>
      <c r="V53" s="187"/>
      <c r="W53" s="187"/>
    </row>
    <row r="54" spans="3:23" s="184" customFormat="1" ht="12" x14ac:dyDescent="0.2">
      <c r="N54" s="185"/>
      <c r="O54" s="186"/>
      <c r="P54" s="186"/>
      <c r="Q54" s="186"/>
      <c r="R54" s="186"/>
      <c r="S54" s="186"/>
      <c r="U54" s="187"/>
      <c r="V54" s="187"/>
      <c r="W54" s="187"/>
    </row>
    <row r="55" spans="3:23" s="184" customFormat="1" ht="12" x14ac:dyDescent="0.2">
      <c r="N55" s="185"/>
      <c r="O55" s="186"/>
      <c r="P55" s="186"/>
      <c r="Q55" s="186"/>
      <c r="R55" s="186"/>
      <c r="S55" s="186"/>
      <c r="U55" s="187"/>
      <c r="V55" s="187"/>
      <c r="W55" s="187"/>
    </row>
    <row r="56" spans="3:23" s="185" customFormat="1" ht="12" x14ac:dyDescent="0.2">
      <c r="C56" s="184"/>
      <c r="D56" s="184"/>
      <c r="E56" s="184"/>
      <c r="F56" s="184"/>
      <c r="G56" s="184"/>
      <c r="H56" s="184"/>
      <c r="I56" s="184"/>
      <c r="J56" s="184"/>
      <c r="K56" s="184"/>
      <c r="L56" s="184"/>
      <c r="M56" s="184"/>
      <c r="O56" s="186"/>
      <c r="P56" s="186"/>
      <c r="Q56" s="186"/>
      <c r="R56" s="186"/>
      <c r="S56" s="186"/>
      <c r="T56" s="184"/>
      <c r="U56" s="187"/>
      <c r="V56" s="187"/>
      <c r="W56" s="187"/>
    </row>
    <row r="57" spans="3:23" s="188" customFormat="1" x14ac:dyDescent="0.2">
      <c r="C57"/>
      <c r="D57"/>
      <c r="E57"/>
      <c r="F57"/>
      <c r="G57"/>
      <c r="H57"/>
      <c r="I57"/>
      <c r="J57"/>
      <c r="K57"/>
      <c r="L57"/>
      <c r="M57"/>
      <c r="O57" s="189"/>
      <c r="P57" s="189"/>
      <c r="Q57" s="189"/>
      <c r="R57" s="189"/>
      <c r="S57" s="189"/>
      <c r="T57"/>
      <c r="U57" s="45"/>
      <c r="V57" s="45"/>
      <c r="W57" s="45"/>
    </row>
  </sheetData>
  <sheetProtection algorithmName="SHA-512" hashValue="j1/f2YilncdfUgVv+Zw6rPaYa4b5eAase9y0/X8IaONSvGxtf5ow0qSLqGZTqYD07GqhWrIHhsysHyS9c+r7NA==" saltValue="E0B980phONxZnv18unCwVg==" spinCount="100000" sheet="1" selectLockedCells="1"/>
  <mergeCells count="53">
    <mergeCell ref="AV9:AW9"/>
    <mergeCell ref="F9:G9"/>
    <mergeCell ref="F8:H8"/>
    <mergeCell ref="M35:R35"/>
    <mergeCell ref="AQ9:AU9"/>
    <mergeCell ref="Z9:AA9"/>
    <mergeCell ref="W28:X28"/>
    <mergeCell ref="W30:X30"/>
    <mergeCell ref="W32:X32"/>
    <mergeCell ref="S3:W3"/>
    <mergeCell ref="S5:W5"/>
    <mergeCell ref="O7:R8"/>
    <mergeCell ref="S7:U8"/>
    <mergeCell ref="V7:X8"/>
    <mergeCell ref="M5:R5"/>
    <mergeCell ref="M3:R3"/>
    <mergeCell ref="A21:B21"/>
    <mergeCell ref="AO9:AP9"/>
    <mergeCell ref="A10:B10"/>
    <mergeCell ref="A9:B9"/>
    <mergeCell ref="A1:B1"/>
    <mergeCell ref="L8:M8"/>
    <mergeCell ref="I8:K8"/>
    <mergeCell ref="C8:E8"/>
    <mergeCell ref="C7:N7"/>
    <mergeCell ref="AH9:AJ9"/>
    <mergeCell ref="AK9:AN9"/>
    <mergeCell ref="AB9:AE9"/>
    <mergeCell ref="AF9:AG9"/>
    <mergeCell ref="A11:B11"/>
    <mergeCell ref="V9:W9"/>
    <mergeCell ref="O9:Q9"/>
    <mergeCell ref="W37:X37"/>
    <mergeCell ref="C33:D34"/>
    <mergeCell ref="M32:Q32"/>
    <mergeCell ref="M33:Q33"/>
    <mergeCell ref="M30:R30"/>
    <mergeCell ref="A24:B24"/>
    <mergeCell ref="A25:B25"/>
    <mergeCell ref="E3:J3"/>
    <mergeCell ref="E5:J5"/>
    <mergeCell ref="M28:R28"/>
    <mergeCell ref="A23:B23"/>
    <mergeCell ref="A12:B12"/>
    <mergeCell ref="A13:B13"/>
    <mergeCell ref="A14:B14"/>
    <mergeCell ref="A15:B15"/>
    <mergeCell ref="A16:B16"/>
    <mergeCell ref="A17:B17"/>
    <mergeCell ref="A18:B18"/>
    <mergeCell ref="A22:B22"/>
    <mergeCell ref="A19:B19"/>
    <mergeCell ref="A20:B20"/>
  </mergeCells>
  <conditionalFormatting sqref="A11:B25">
    <cfRule type="expression" dxfId="58" priority="2">
      <formula>A11:B11&lt;&gt;""</formula>
    </cfRule>
  </conditionalFormatting>
  <conditionalFormatting sqref="C11:X25">
    <cfRule type="expression" dxfId="57" priority="4">
      <formula>OR(AND($E11="mehrtägigen",$H11="begann"),AND($E11="mehrtägigen",$H11=""))</formula>
    </cfRule>
  </conditionalFormatting>
  <conditionalFormatting sqref="F11:G25">
    <cfRule type="expression" dxfId="56" priority="1">
      <formula>$E11="mehrtägigen"</formula>
    </cfRule>
  </conditionalFormatting>
  <conditionalFormatting sqref="H11:L25">
    <cfRule type="expression" dxfId="55" priority="37">
      <formula>$AB11=1</formula>
    </cfRule>
  </conditionalFormatting>
  <conditionalFormatting sqref="H26:M26">
    <cfRule type="expression" dxfId="54" priority="99">
      <formula>$AB26=1</formula>
    </cfRule>
  </conditionalFormatting>
  <conditionalFormatting sqref="J30:L30 K31 L32:L35">
    <cfRule type="expression" dxfId="53" priority="93">
      <formula>$AG$5=1</formula>
    </cfRule>
  </conditionalFormatting>
  <conditionalFormatting sqref="K11:K25">
    <cfRule type="expression" dxfId="52" priority="38">
      <formula>AND(AH11=1,J11=C11)</formula>
    </cfRule>
    <cfRule type="expression" dxfId="51" priority="39">
      <formula>AND(AH11=1,J11&lt;&gt;C11,J11&lt;&gt;"",K11="")</formula>
    </cfRule>
    <cfRule type="expression" dxfId="50" priority="40">
      <formula>AND(AK11=1,C11&lt;&gt;J11,J11&lt;&gt;"",K11="")</formula>
    </cfRule>
    <cfRule type="expression" dxfId="49" priority="41">
      <formula>AM11=1</formula>
    </cfRule>
  </conditionalFormatting>
  <conditionalFormatting sqref="K26">
    <cfRule type="expression" dxfId="48" priority="148">
      <formula>AND(AH26=1,J26&lt;&gt;C26,J26&lt;&gt;"",K26="")</formula>
    </cfRule>
    <cfRule type="expression" dxfId="47" priority="149">
      <formula>AND(AK26=1,C26&lt;&gt;J26,J26&lt;&gt;"",K26="")</formula>
    </cfRule>
    <cfRule type="expression" dxfId="46" priority="150">
      <formula>AM26=1</formula>
    </cfRule>
  </conditionalFormatting>
  <conditionalFormatting sqref="L11:L25">
    <cfRule type="expression" dxfId="45" priority="42">
      <formula>AND(AK11=1,J11&lt;&gt;"",K11&lt;&gt;"",C11&lt;&gt;J11,C11&lt;&gt;K11)</formula>
    </cfRule>
    <cfRule type="expression" dxfId="44" priority="43">
      <formula>AND(L11="",OR(AJ11=1,AM11=1,AN11=1))</formula>
    </cfRule>
  </conditionalFormatting>
  <conditionalFormatting sqref="L28">
    <cfRule type="expression" dxfId="43" priority="66">
      <formula>$AG$5=1</formula>
    </cfRule>
  </conditionalFormatting>
  <conditionalFormatting sqref="L26:M26">
    <cfRule type="expression" dxfId="42" priority="177">
      <formula>AND(AK26=1,J26&lt;&gt;"",K26&lt;&gt;"",C26&lt;&gt;J26,C26&lt;&gt;K26)</formula>
    </cfRule>
    <cfRule type="expression" dxfId="41" priority="178">
      <formula>AND(L26="",OR(AJ26=1,AM26=1,AN26=1))</formula>
    </cfRule>
  </conditionalFormatting>
  <conditionalFormatting sqref="M11:M26">
    <cfRule type="expression" dxfId="40" priority="36">
      <formula>AND(E11="mehrtägigen",H11&lt;&gt;"endete")</formula>
    </cfRule>
  </conditionalFormatting>
  <conditionalFormatting sqref="M28:R28 M30:R30 M32:Q33 M35">
    <cfRule type="expression" dxfId="39" priority="108">
      <formula>AND($AG$3=2,$AG$5=1)</formula>
    </cfRule>
  </conditionalFormatting>
  <conditionalFormatting sqref="N11:N26">
    <cfRule type="cellIs" dxfId="38" priority="130" operator="greaterThan">
      <formula>0</formula>
    </cfRule>
  </conditionalFormatting>
  <conditionalFormatting sqref="O11:Q25 S11:T25">
    <cfRule type="expression" dxfId="37" priority="18">
      <formula>$AG$3&lt;&gt;2</formula>
    </cfRule>
  </conditionalFormatting>
  <conditionalFormatting sqref="R11:R25">
    <cfRule type="cellIs" dxfId="36" priority="132" stopIfTrue="1" operator="lessThanOrEqual">
      <formula>0</formula>
    </cfRule>
  </conditionalFormatting>
  <conditionalFormatting sqref="R32:R33">
    <cfRule type="expression" dxfId="35" priority="89">
      <formula>AND($AG$5=1,AB32=3)</formula>
    </cfRule>
  </conditionalFormatting>
  <conditionalFormatting sqref="S5:W5">
    <cfRule type="expression" dxfId="34" priority="44">
      <formula>$AG$3=1</formula>
    </cfRule>
  </conditionalFormatting>
  <conditionalFormatting sqref="T28 T30 T35">
    <cfRule type="expression" dxfId="33" priority="88">
      <formula>AND($AG$5=1,$AB28=3)</formula>
    </cfRule>
  </conditionalFormatting>
  <dataValidations count="13">
    <dataValidation type="list" allowBlank="1" showInputMessage="1" showErrorMessage="1" sqref="N6" xr:uid="{00000000-0002-0000-0000-000001000000}">
      <formula1>Liste_DMII</formula1>
    </dataValidation>
    <dataValidation type="list" allowBlank="1" showInputMessage="1" showErrorMessage="1" sqref="E11:E26 F26:G26" xr:uid="{AAC8B05B-0B39-4044-9FBD-D52010F5DB2D}">
      <formula1>"eintägigen,mehrtägigen"</formula1>
    </dataValidation>
    <dataValidation type="list" allowBlank="1" showInputMessage="1" showErrorMessage="1" sqref="I11:I26" xr:uid="{8D8A9C42-85F9-4B54-B13A-399AAF73EF3B}">
      <formula1>"Flugzeug,Schiff"</formula1>
    </dataValidation>
    <dataValidation type="list" allowBlank="1" showInputMessage="1" showErrorMessage="1" sqref="O11:Q26" xr:uid="{7C1ACC4F-2814-4659-AC3A-ADA1E87A6C14}">
      <formula1>"Ja"</formula1>
    </dataValidation>
    <dataValidation type="list" allowBlank="1" showInputMessage="1" showErrorMessage="1" sqref="I11:I26" xr:uid="{D219582C-963F-4CD8-A524-6372459D25D0}">
      <formula1>"Abreise,Rückkehr"</formula1>
    </dataValidation>
    <dataValidation type="list" allowBlank="1" showInputMessage="1" showErrorMessage="1" sqref="V11:V26" xr:uid="{07FBFD2F-A3C0-4DF2-A265-A1B297061F2B}">
      <formula1>"PKW,sonst. Kfz,Fahrrad"</formula1>
    </dataValidation>
    <dataValidation type="list" allowBlank="1" showInputMessage="1" showErrorMessage="1" sqref="H11:H26" xr:uid="{F79FFCB4-349A-433E-8CD5-146EC94D6AD8}">
      <formula1>"begann,endete"</formula1>
    </dataValidation>
    <dataValidation type="list" allowBlank="1" showInputMessage="1" showErrorMessage="1" sqref="M30" xr:uid="{06F1EE45-D075-4FE9-8C1A-95B7D96656AB}">
      <formula1>"in Höhe der tatsächlichen Aufwendungen,in Höhe der erstattungsfähigen Pauschalen,mit einem individuellen Betrag in Höhe von:"</formula1>
    </dataValidation>
    <dataValidation type="list" allowBlank="1" showInputMessage="1" showErrorMessage="1" sqref="S5:W5" xr:uid="{22C8B394-425D-48BC-A01B-D7DC87923904}">
      <formula1>"Meinen Arbeitgeber,Meine Einkommensteuererklärung"</formula1>
    </dataValidation>
    <dataValidation type="list" allowBlank="1" showInputMessage="1" showErrorMessage="1" sqref="M32:M33" xr:uid="{2A96E1D6-EC40-4216-96CA-623EA2D1EE61}">
      <formula1>"nach dem gesetzlichen km-Satz von:,mit einem km-Satz von:"</formula1>
    </dataValidation>
    <dataValidation type="list" allowBlank="1" showInputMessage="1" showErrorMessage="1" sqref="E5:G5" xr:uid="{6F936BAE-E30D-42C3-9E3A-065FF8BDB160}">
      <formula1>"Unternehmer,Arbeitnehmer"</formula1>
    </dataValidation>
    <dataValidation type="list" allowBlank="1" showInputMessage="1" showErrorMessage="1" sqref="M28:R28" xr:uid="{91F8FA61-3DC4-439B-AA67-8589B68AF77D}">
      <formula1>"in Höhe der gesetzlichen Pauschalen,mit einem individuellen Betrag in Höhe von:"</formula1>
    </dataValidation>
    <dataValidation type="list" allowBlank="1" showInputMessage="1" showErrorMessage="1" sqref="M35" xr:uid="{790D50EF-9E77-4406-AA58-1F66AFA72920}">
      <formula1>"in Höhe der tatsächlichen Aufwendungen,mit einem individuellen Betrag in Höhe von:"</formula1>
    </dataValidation>
  </dataValidations>
  <hyperlinks>
    <hyperlink ref="A10" location="Bearbeitungshinweise!A1" display="Bearbeitungshinweise" xr:uid="{00000000-0004-0000-0000-000000000000}"/>
    <hyperlink ref="A10:B10" location="Beispielabrechnung!A1" display="Beispielabrechnung!A1" xr:uid="{A3F1F6FA-FFA5-4D34-BDAF-3CF62547192C}"/>
  </hyperlinks>
  <pageMargins left="0.78740157480314965" right="0.47244094488188981" top="0.74803149606299213" bottom="0.23622047244094491" header="0.31496062992125984" footer="0.15748031496062992"/>
  <pageSetup paperSize="9" scale="65" fitToHeight="0" orientation="landscape" blackAndWhite="1" r:id="rId1"/>
  <headerFooter alignWithMargins="0">
    <oddHeader>&amp;R&amp;G</oddHeader>
  </headerFooter>
  <legacy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7D8BB67-C4F4-4AAE-9C53-C3F234346929}">
          <x14:formula1>
            <xm:f>Pauschalen!$A$3:$A$228</xm:f>
          </x14:formula1>
          <xm:sqref>L11:M26 S11:S26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76F82-46D2-44A5-A084-75EB2765DA6F}">
  <sheetPr>
    <pageSetUpPr fitToPage="1"/>
  </sheetPr>
  <dimension ref="A1:AX57"/>
  <sheetViews>
    <sheetView showGridLines="0" zoomScale="85" zoomScaleNormal="85" zoomScaleSheetLayoutView="90" zoomScalePageLayoutView="70" workbookViewId="0">
      <selection activeCell="A10" sqref="A10:B10"/>
    </sheetView>
  </sheetViews>
  <sheetFormatPr baseColWidth="10" defaultRowHeight="12.75" x14ac:dyDescent="0.2"/>
  <cols>
    <col min="1" max="1" width="14.5703125" customWidth="1"/>
    <col min="2" max="2" width="17.42578125" customWidth="1"/>
    <col min="3" max="3" width="6.7109375" customWidth="1"/>
    <col min="4" max="4" width="21.140625" customWidth="1"/>
    <col min="5" max="5" width="11.85546875" customWidth="1"/>
    <col min="6" max="7" width="6.7109375" customWidth="1"/>
    <col min="8" max="8" width="11.7109375" customWidth="1"/>
    <col min="9" max="9" width="11.85546875" customWidth="1"/>
    <col min="10" max="11" width="10.7109375" customWidth="1"/>
    <col min="12" max="13" width="13.28515625" customWidth="1"/>
    <col min="14" max="14" width="6.7109375" style="188" customWidth="1"/>
    <col min="15" max="17" width="3.7109375" style="189" customWidth="1"/>
    <col min="18" max="18" width="6.7109375" style="189" customWidth="1"/>
    <col min="19" max="19" width="13.28515625" style="189" customWidth="1"/>
    <col min="20" max="20" width="10.7109375" customWidth="1"/>
    <col min="21" max="23" width="7.28515625" style="45" customWidth="1"/>
    <col min="24" max="24" width="10.7109375" customWidth="1"/>
    <col min="26" max="44" width="11.42578125" hidden="1" customWidth="1"/>
    <col min="45" max="45" width="13.42578125" hidden="1" customWidth="1"/>
    <col min="46" max="47" width="11.42578125" hidden="1" customWidth="1"/>
    <col min="48" max="48" width="21.85546875" hidden="1" customWidth="1"/>
    <col min="49" max="49" width="43.85546875" hidden="1" customWidth="1"/>
  </cols>
  <sheetData>
    <row r="1" spans="1:50" ht="22.5" customHeight="1" x14ac:dyDescent="0.25">
      <c r="A1" s="254"/>
      <c r="B1" s="254"/>
      <c r="C1" s="38" t="s">
        <v>347</v>
      </c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40"/>
      <c r="Z1" s="41" t="s">
        <v>277</v>
      </c>
      <c r="AG1">
        <f>IF(AND(AG3=1,E3&lt;&gt;"",S3&lt;&gt;""),1,IF(AND(AG3=2,E3&lt;&gt;"",S3&lt;&gt;"",S5&lt;&gt;""),1,0))</f>
        <v>1</v>
      </c>
    </row>
    <row r="2" spans="1:50" ht="5.0999999999999996" customHeight="1" x14ac:dyDescent="0.25"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/>
      <c r="O2"/>
      <c r="P2"/>
      <c r="Q2"/>
      <c r="R2"/>
      <c r="S2"/>
      <c r="X2" s="46"/>
    </row>
    <row r="3" spans="1:50" ht="18.95" customHeight="1" x14ac:dyDescent="0.2">
      <c r="A3" s="55"/>
      <c r="B3" s="48"/>
      <c r="C3" s="49"/>
      <c r="D3" s="50" t="s">
        <v>142</v>
      </c>
      <c r="E3" s="297" t="s">
        <v>297</v>
      </c>
      <c r="F3" s="298"/>
      <c r="G3" s="298"/>
      <c r="H3" s="298"/>
      <c r="I3" s="298"/>
      <c r="J3" s="299"/>
      <c r="K3" s="51"/>
      <c r="L3" s="51"/>
      <c r="M3" s="286" t="s">
        <v>274</v>
      </c>
      <c r="N3" s="286"/>
      <c r="O3" s="286"/>
      <c r="P3" s="286"/>
      <c r="Q3" s="286"/>
      <c r="R3" s="287"/>
      <c r="S3" s="297" t="s">
        <v>317</v>
      </c>
      <c r="T3" s="298"/>
      <c r="U3" s="298"/>
      <c r="V3" s="298"/>
      <c r="W3" s="299"/>
      <c r="X3" s="52"/>
      <c r="Z3" s="41" t="s">
        <v>275</v>
      </c>
      <c r="AG3">
        <f>IF(E5="",0,IF(E5="Unternehmer",1,2))</f>
        <v>2</v>
      </c>
      <c r="AI3" s="53" t="s">
        <v>246</v>
      </c>
      <c r="AO3" s="54" t="s">
        <v>96</v>
      </c>
      <c r="AP3" s="53"/>
    </row>
    <row r="4" spans="1:50" ht="5.0999999999999996" customHeight="1" x14ac:dyDescent="0.2">
      <c r="A4" s="55"/>
      <c r="B4" s="56"/>
      <c r="C4" s="57"/>
      <c r="D4" s="58"/>
      <c r="E4" s="58"/>
      <c r="F4" s="58"/>
      <c r="G4" s="58"/>
      <c r="H4" s="58"/>
      <c r="I4" s="58"/>
      <c r="J4" s="58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60"/>
    </row>
    <row r="5" spans="1:50" ht="18.95" customHeight="1" thickBot="1" x14ac:dyDescent="0.25">
      <c r="A5" s="190"/>
      <c r="B5" s="48"/>
      <c r="C5" s="63"/>
      <c r="D5" s="64" t="s">
        <v>313</v>
      </c>
      <c r="E5" s="300" t="s">
        <v>285</v>
      </c>
      <c r="F5" s="301"/>
      <c r="G5" s="301"/>
      <c r="H5" s="301"/>
      <c r="I5" s="301"/>
      <c r="J5" s="302"/>
      <c r="K5" s="65"/>
      <c r="L5" s="65"/>
      <c r="M5" s="284" t="s">
        <v>312</v>
      </c>
      <c r="N5" s="284"/>
      <c r="O5" s="284"/>
      <c r="P5" s="284"/>
      <c r="Q5" s="284"/>
      <c r="R5" s="285"/>
      <c r="S5" s="300" t="s">
        <v>287</v>
      </c>
      <c r="T5" s="301"/>
      <c r="U5" s="301"/>
      <c r="V5" s="301"/>
      <c r="W5" s="302"/>
      <c r="X5" s="66"/>
      <c r="Z5" s="41" t="s">
        <v>276</v>
      </c>
      <c r="AG5">
        <f>IF(AG3&lt;&gt;2,0,IF(S5="Meinen Arbeitgeber",1,IF(S5="Meine Einkommensteuererklärung",2,0)))</f>
        <v>1</v>
      </c>
      <c r="AI5" s="53" t="s">
        <v>247</v>
      </c>
      <c r="AO5" s="54" t="s">
        <v>71</v>
      </c>
      <c r="AV5" s="67"/>
    </row>
    <row r="6" spans="1:50" ht="5.0999999999999996" customHeight="1" thickBot="1" x14ac:dyDescent="0.25"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68"/>
      <c r="O6" s="69"/>
      <c r="P6" s="70"/>
      <c r="Q6" s="70"/>
      <c r="R6" s="70"/>
      <c r="S6" s="70"/>
    </row>
    <row r="7" spans="1:50" s="73" customFormat="1" ht="18" customHeight="1" x14ac:dyDescent="0.2">
      <c r="A7" s="191"/>
      <c r="B7" s="72"/>
      <c r="C7" s="261" t="s">
        <v>309</v>
      </c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63"/>
      <c r="O7" s="272" t="s">
        <v>237</v>
      </c>
      <c r="P7" s="273"/>
      <c r="Q7" s="273"/>
      <c r="R7" s="273"/>
      <c r="S7" s="276" t="s">
        <v>3</v>
      </c>
      <c r="T7" s="277"/>
      <c r="U7" s="278"/>
      <c r="V7" s="272" t="s">
        <v>240</v>
      </c>
      <c r="W7" s="273"/>
      <c r="X7" s="282"/>
    </row>
    <row r="8" spans="1:50" s="73" customFormat="1" ht="15.75" customHeight="1" thickBot="1" x14ac:dyDescent="0.25">
      <c r="A8" s="74"/>
      <c r="B8" s="74"/>
      <c r="C8" s="258" t="s">
        <v>281</v>
      </c>
      <c r="D8" s="259"/>
      <c r="E8" s="260"/>
      <c r="F8" s="291" t="s">
        <v>264</v>
      </c>
      <c r="G8" s="292"/>
      <c r="H8" s="293"/>
      <c r="I8" s="257" t="s">
        <v>264</v>
      </c>
      <c r="J8" s="257"/>
      <c r="K8" s="257"/>
      <c r="L8" s="255" t="s">
        <v>265</v>
      </c>
      <c r="M8" s="256"/>
      <c r="N8" s="75"/>
      <c r="O8" s="274"/>
      <c r="P8" s="275"/>
      <c r="Q8" s="275"/>
      <c r="R8" s="275"/>
      <c r="S8" s="279"/>
      <c r="T8" s="280"/>
      <c r="U8" s="281"/>
      <c r="V8" s="274"/>
      <c r="W8" s="275"/>
      <c r="X8" s="283"/>
    </row>
    <row r="9" spans="1:50" s="83" customFormat="1" ht="78.75" customHeight="1" x14ac:dyDescent="0.2">
      <c r="A9" s="252"/>
      <c r="B9" s="253"/>
      <c r="C9" s="76" t="s">
        <v>333</v>
      </c>
      <c r="D9" s="77" t="s">
        <v>209</v>
      </c>
      <c r="E9" s="77" t="s">
        <v>218</v>
      </c>
      <c r="F9" s="290" t="s">
        <v>329</v>
      </c>
      <c r="G9" s="268"/>
      <c r="H9" s="77" t="s">
        <v>241</v>
      </c>
      <c r="I9" s="77" t="s">
        <v>260</v>
      </c>
      <c r="J9" s="77" t="s">
        <v>217</v>
      </c>
      <c r="K9" s="77" t="s">
        <v>338</v>
      </c>
      <c r="L9" s="77" t="s">
        <v>243</v>
      </c>
      <c r="M9" s="77" t="s">
        <v>296</v>
      </c>
      <c r="N9" s="78" t="s">
        <v>310</v>
      </c>
      <c r="O9" s="270" t="s">
        <v>273</v>
      </c>
      <c r="P9" s="271"/>
      <c r="Q9" s="271"/>
      <c r="R9" s="79" t="s">
        <v>203</v>
      </c>
      <c r="S9" s="76" t="s">
        <v>272</v>
      </c>
      <c r="T9" s="80" t="s">
        <v>236</v>
      </c>
      <c r="U9" s="81" t="s">
        <v>235</v>
      </c>
      <c r="V9" s="268" t="s">
        <v>311</v>
      </c>
      <c r="W9" s="269"/>
      <c r="X9" s="82" t="s">
        <v>291</v>
      </c>
      <c r="Z9" s="249" t="s">
        <v>280</v>
      </c>
      <c r="AA9" s="249"/>
      <c r="AB9" s="267" t="s">
        <v>204</v>
      </c>
      <c r="AC9" s="267"/>
      <c r="AD9" s="267"/>
      <c r="AE9" s="267"/>
      <c r="AF9" s="267" t="s">
        <v>259</v>
      </c>
      <c r="AG9" s="267"/>
      <c r="AH9" s="264" t="s">
        <v>232</v>
      </c>
      <c r="AI9" s="265"/>
      <c r="AJ9" s="266"/>
      <c r="AK9" s="267" t="s">
        <v>233</v>
      </c>
      <c r="AL9" s="267"/>
      <c r="AM9" s="267"/>
      <c r="AN9" s="267"/>
      <c r="AO9" s="249" t="s">
        <v>261</v>
      </c>
      <c r="AP9" s="249"/>
      <c r="AQ9" s="249" t="s">
        <v>266</v>
      </c>
      <c r="AR9" s="249"/>
      <c r="AS9" s="249"/>
      <c r="AT9" s="249"/>
      <c r="AU9" s="249"/>
      <c r="AV9" s="288" t="s">
        <v>327</v>
      </c>
      <c r="AW9" s="289"/>
    </row>
    <row r="10" spans="1:50" s="73" customFormat="1" ht="49.5" customHeight="1" thickBot="1" x14ac:dyDescent="0.3">
      <c r="A10" s="303" t="s">
        <v>339</v>
      </c>
      <c r="B10" s="303"/>
      <c r="C10" s="84" t="s">
        <v>2</v>
      </c>
      <c r="D10" s="85" t="s">
        <v>141</v>
      </c>
      <c r="E10" s="86" t="s">
        <v>219</v>
      </c>
      <c r="F10" s="86" t="s">
        <v>330</v>
      </c>
      <c r="G10" s="86" t="s">
        <v>331</v>
      </c>
      <c r="H10" s="86" t="s">
        <v>242</v>
      </c>
      <c r="I10" s="86" t="s">
        <v>216</v>
      </c>
      <c r="J10" s="86" t="s">
        <v>2</v>
      </c>
      <c r="K10" s="86" t="s">
        <v>2</v>
      </c>
      <c r="L10" s="86" t="s">
        <v>244</v>
      </c>
      <c r="M10" s="85" t="s">
        <v>244</v>
      </c>
      <c r="N10" s="87" t="s">
        <v>1</v>
      </c>
      <c r="O10" s="88" t="s">
        <v>145</v>
      </c>
      <c r="P10" s="89" t="s">
        <v>147</v>
      </c>
      <c r="Q10" s="89" t="s">
        <v>146</v>
      </c>
      <c r="R10" s="90" t="s">
        <v>1</v>
      </c>
      <c r="S10" s="91" t="s">
        <v>244</v>
      </c>
      <c r="T10" s="92" t="s">
        <v>1</v>
      </c>
      <c r="U10" s="93" t="s">
        <v>1</v>
      </c>
      <c r="V10" s="94" t="s">
        <v>239</v>
      </c>
      <c r="W10" s="85" t="s">
        <v>238</v>
      </c>
      <c r="X10" s="93" t="s">
        <v>1</v>
      </c>
      <c r="Z10" s="95" t="s">
        <v>278</v>
      </c>
      <c r="AA10" s="95" t="s">
        <v>279</v>
      </c>
      <c r="AB10" s="95" t="s">
        <v>254</v>
      </c>
      <c r="AC10" s="95" t="s">
        <v>332</v>
      </c>
      <c r="AD10" s="96" t="s">
        <v>337</v>
      </c>
      <c r="AE10" s="95" t="s">
        <v>248</v>
      </c>
      <c r="AF10" s="95" t="s">
        <v>255</v>
      </c>
      <c r="AG10" s="95" t="s">
        <v>248</v>
      </c>
      <c r="AH10" s="95" t="s">
        <v>245</v>
      </c>
      <c r="AI10" s="95" t="s">
        <v>248</v>
      </c>
      <c r="AJ10" s="96" t="s">
        <v>249</v>
      </c>
      <c r="AK10" s="95" t="s">
        <v>250</v>
      </c>
      <c r="AL10" s="95" t="s">
        <v>248</v>
      </c>
      <c r="AM10" s="96" t="s">
        <v>252</v>
      </c>
      <c r="AN10" s="96" t="s">
        <v>253</v>
      </c>
      <c r="AO10" s="95" t="s">
        <v>262</v>
      </c>
      <c r="AP10" s="95" t="s">
        <v>263</v>
      </c>
      <c r="AQ10" s="95" t="s">
        <v>267</v>
      </c>
      <c r="AR10" s="95" t="s">
        <v>268</v>
      </c>
      <c r="AS10" s="95" t="s">
        <v>270</v>
      </c>
      <c r="AT10" s="95" t="s">
        <v>269</v>
      </c>
      <c r="AU10" s="95" t="s">
        <v>271</v>
      </c>
      <c r="AV10" s="96" t="s">
        <v>326</v>
      </c>
      <c r="AW10" s="96" t="s">
        <v>328</v>
      </c>
    </row>
    <row r="11" spans="1:50" s="109" customFormat="1" ht="28.5" customHeight="1" thickBot="1" x14ac:dyDescent="0.25">
      <c r="A11" s="233" t="str">
        <f>IF(AJ11=1,$AW$12,IF(AM11=1,$AW$13,IF(AN11=1,$AW$14,IF(AD11=1,$AW$11,""))))</f>
        <v/>
      </c>
      <c r="B11" s="233"/>
      <c r="C11" s="97">
        <v>45307</v>
      </c>
      <c r="D11" s="98" t="s">
        <v>314</v>
      </c>
      <c r="E11" s="98" t="s">
        <v>234</v>
      </c>
      <c r="F11" s="99">
        <v>0.3125</v>
      </c>
      <c r="G11" s="99">
        <v>0.71875</v>
      </c>
      <c r="H11" s="98"/>
      <c r="I11" s="98"/>
      <c r="J11" s="100"/>
      <c r="K11" s="100"/>
      <c r="L11" s="101"/>
      <c r="M11" s="101" t="s">
        <v>127</v>
      </c>
      <c r="N11" s="102">
        <f>IF(OR($AG$1=0,Z11=0,AA11=0),"",VLOOKUP(AO11,VMA[#All],Beispielabrechnung!AP11,FALSE))</f>
        <v>21</v>
      </c>
      <c r="O11" s="99"/>
      <c r="P11" s="99" t="s">
        <v>206</v>
      </c>
      <c r="Q11" s="99"/>
      <c r="R11" s="103">
        <f t="shared" ref="R11:R25" si="0">IF($AG$1=0,"",IF(AND($AG$3=2,N11&lt;&gt;""),N11-(AQ11*AU11),""))</f>
        <v>8.1999999999999993</v>
      </c>
      <c r="S11" s="101"/>
      <c r="T11" s="104"/>
      <c r="U11" s="105" t="str">
        <f>IF(OR($AG$1=0,$AG$3&lt;&gt;2,$AG$5&lt;&gt;1),"",IF(S11&lt;&gt;"",VLOOKUP(S11,Pauschalen!$A$1:$D$231,4,FALSE),""))</f>
        <v/>
      </c>
      <c r="V11" s="106" t="s">
        <v>307</v>
      </c>
      <c r="W11" s="107">
        <v>151</v>
      </c>
      <c r="X11" s="108">
        <v>6.5</v>
      </c>
      <c r="Z11" s="83">
        <f t="shared" ref="Z11:Z23" si="1">IF(OR(C11="",D11="",E11=""),0,1)</f>
        <v>1</v>
      </c>
      <c r="AA11" s="83">
        <f t="shared" ref="AA11:AA23" si="2">IF(OR(AND(AK11=1,J11&lt;&gt;"",K11&lt;&gt;"",C11&lt;&gt;J11,C11&lt;&gt;K11),AND(E11="Mehrtägigen",L11&lt;&gt;"")),1,IF(AND(E11="eintägigen",M11&lt;&gt;""),1,0))</f>
        <v>1</v>
      </c>
      <c r="AB11" s="83">
        <f t="shared" ref="AB11:AB23" si="3">IF(E11="eintägigen",1,0)</f>
        <v>1</v>
      </c>
      <c r="AC11" s="110">
        <f>G11-F11</f>
        <v>0.40625</v>
      </c>
      <c r="AD11" s="83">
        <f>IF(OR(IFERROR(AC11,1)=1,DAY(G11)-DAY(F11)&gt;0),1,0)</f>
        <v>0</v>
      </c>
      <c r="AE11" s="83" t="str">
        <f>IF(AB11=1,M11,0)</f>
        <v>Tschechische Republik</v>
      </c>
      <c r="AF11" s="83">
        <f t="shared" ref="AF11:AF23" si="4">IF(AND(E11="mehrtägigen",AH11=0,AK11=0),1,0)</f>
        <v>0</v>
      </c>
      <c r="AG11" s="83">
        <f t="shared" ref="AG11:AG23" si="5">IF(AF11=1,IF(H11&lt;&gt;"endete",L11,IF(M11="",L11,M11)),0)</f>
        <v>0</v>
      </c>
      <c r="AH11" s="83">
        <f t="shared" ref="AH11:AH23" si="6">IF(I11="Flugzeug",1,0)</f>
        <v>0</v>
      </c>
      <c r="AI11" s="83">
        <f t="shared" ref="AI11:AI23" si="7">IF(AH11=1,IF(AND(H11="endete",M11&lt;&gt;""),M11,IF(J11=C11,L11,IF(AND(J11&lt;&gt;C11,K11=C11),L11,IF(AND(C11&lt;&gt;J11,C11&lt;&gt;K11,J11&lt;&gt;"",K11&lt;&gt;""),$AO$3,0)))),0)</f>
        <v>0</v>
      </c>
      <c r="AJ11" s="83">
        <f t="shared" ref="AJ11:AJ23" si="8">IF(AND(AH11=1,C11&lt;&gt;J11,C11=K11,L11=""),1,0)</f>
        <v>0</v>
      </c>
      <c r="AK11" s="83">
        <f t="shared" ref="AK11:AK23" si="9">IF(I11="Schiff",1,0)</f>
        <v>0</v>
      </c>
      <c r="AL11" s="83">
        <f t="shared" ref="AL11:AL23" si="10">IF(AK11=1,IF(C11=J11,L11,IF(C11=K11,L11,IF(AND(C11&lt;&gt;J11,C11&lt;&gt;K11,J11&lt;&gt;"",K11&lt;&gt;""),$AO$5,0))),0)</f>
        <v>0</v>
      </c>
      <c r="AM11" s="83">
        <f t="shared" ref="AM11:AM23" si="11">IF(AND(AK11=1,C11=J11,L11=""),1,0)</f>
        <v>0</v>
      </c>
      <c r="AN11" s="83">
        <f t="shared" ref="AN11:AN23" si="12">IF(AND(AK11=1,C11=K11,L11=""),1,0)</f>
        <v>0</v>
      </c>
      <c r="AO11" s="83" t="str">
        <f>IF(AB11=1,AE11,IF(AF11=1,AG11,IF(AH11=1,AI11,IF(AK11=1,AL11,0))))</f>
        <v>Tschechische Republik</v>
      </c>
      <c r="AP11" s="83">
        <f>IF(AND(E11="mehrtägigen",H11=""),2,IF(OR(AND(E11="mehrtägigen",H11&lt;&gt;""),AND(E11="eintägigen",AC11&gt;TIME(8,,),AD11=0)),3,5))</f>
        <v>3</v>
      </c>
      <c r="AQ11" s="83">
        <f>VLOOKUP(AO11,Pauschalen!$A$1:$D$231,2,FALSE)</f>
        <v>32</v>
      </c>
      <c r="AR11" s="83">
        <f t="shared" ref="AR11:AR23" si="13">IF(O11&lt;&gt;"",0.2,0)</f>
        <v>0</v>
      </c>
      <c r="AS11" s="83">
        <f t="shared" ref="AS11:AT23" si="14">IF(P11&lt;&gt;"",0.4,0)</f>
        <v>0.4</v>
      </c>
      <c r="AT11" s="83">
        <f t="shared" si="14"/>
        <v>0</v>
      </c>
      <c r="AU11" s="83">
        <f>SUM(AR11:AT11)</f>
        <v>0.4</v>
      </c>
      <c r="AV11" s="111" t="s">
        <v>334</v>
      </c>
      <c r="AW11" s="112" t="s">
        <v>336</v>
      </c>
      <c r="AX11"/>
    </row>
    <row r="12" spans="1:50" s="109" customFormat="1" ht="28.5" customHeight="1" thickBot="1" x14ac:dyDescent="0.25">
      <c r="A12" s="305" t="s">
        <v>341</v>
      </c>
      <c r="B12" s="306"/>
      <c r="C12" s="97">
        <v>45314</v>
      </c>
      <c r="D12" s="98" t="s">
        <v>298</v>
      </c>
      <c r="E12" s="98" t="s">
        <v>220</v>
      </c>
      <c r="F12" s="99"/>
      <c r="G12" s="99"/>
      <c r="H12" s="98" t="s">
        <v>251</v>
      </c>
      <c r="I12" s="98"/>
      <c r="J12" s="100"/>
      <c r="K12" s="100"/>
      <c r="L12" s="101" t="s">
        <v>140</v>
      </c>
      <c r="M12" s="101"/>
      <c r="N12" s="102">
        <f>IF(OR($AG$1=0,Z12=0,AA12=0),"",VLOOKUP(AO12,VMA[#All],Beispielabrechnung!AP12,FALSE))</f>
        <v>14</v>
      </c>
      <c r="O12" s="99"/>
      <c r="P12" s="99"/>
      <c r="Q12" s="99"/>
      <c r="R12" s="103">
        <f t="shared" si="0"/>
        <v>14</v>
      </c>
      <c r="S12" s="101"/>
      <c r="T12" s="104"/>
      <c r="U12" s="105" t="str">
        <f>IF(OR($AG$1=0,$AG$3&lt;&gt;2,$AG$5&lt;&gt;1),"",IF(S12&lt;&gt;"",VLOOKUP(S12,Pauschalen!$A$1:$D$231,4,FALSE),""))</f>
        <v/>
      </c>
      <c r="V12" s="106"/>
      <c r="W12" s="113"/>
      <c r="X12" s="108">
        <v>113</v>
      </c>
      <c r="Z12" s="83">
        <f t="shared" si="1"/>
        <v>1</v>
      </c>
      <c r="AA12" s="83">
        <f t="shared" si="2"/>
        <v>1</v>
      </c>
      <c r="AB12" s="83">
        <f t="shared" si="3"/>
        <v>0</v>
      </c>
      <c r="AC12" s="110">
        <f t="shared" ref="AC12:AC25" si="15">G12-F12</f>
        <v>0</v>
      </c>
      <c r="AD12" s="83">
        <f t="shared" ref="AD12:AD25" si="16">IF(OR(IFERROR(AC12,1)=1,DAY(G12)-DAY(F12)&gt;0),1,0)</f>
        <v>0</v>
      </c>
      <c r="AE12" s="83">
        <f t="shared" ref="AE12:AE23" si="17">IF(AB12=1,M12,0)</f>
        <v>0</v>
      </c>
      <c r="AF12" s="83">
        <f t="shared" si="4"/>
        <v>1</v>
      </c>
      <c r="AG12" s="83" t="str">
        <f t="shared" si="5"/>
        <v>Deutschland</v>
      </c>
      <c r="AH12" s="83">
        <f t="shared" si="6"/>
        <v>0</v>
      </c>
      <c r="AI12" s="83">
        <f t="shared" si="7"/>
        <v>0</v>
      </c>
      <c r="AJ12" s="83">
        <f t="shared" si="8"/>
        <v>0</v>
      </c>
      <c r="AK12" s="83">
        <f t="shared" si="9"/>
        <v>0</v>
      </c>
      <c r="AL12" s="83">
        <f t="shared" si="10"/>
        <v>0</v>
      </c>
      <c r="AM12" s="83">
        <f t="shared" si="11"/>
        <v>0</v>
      </c>
      <c r="AN12" s="83">
        <f t="shared" si="12"/>
        <v>0</v>
      </c>
      <c r="AO12" s="83" t="str">
        <f t="shared" ref="AO12:AO13" si="18">IF(AB12=1,AE12,IF(AF12=1,AG12,IF(AH12=1,AI12,IF(AK12=1,AL12,0))))</f>
        <v>Deutschland</v>
      </c>
      <c r="AP12" s="83">
        <f t="shared" ref="AP12:AP25" si="19">IF(AND(E12="mehrtägigen",H12=""),2,IF(OR(AND(E12="mehrtägigen",H12&lt;&gt;""),AND(E12="eintägigen",AC12&gt;TIME(8,,),AD12=0)),3,5))</f>
        <v>3</v>
      </c>
      <c r="AQ12" s="83">
        <f>VLOOKUP(AO12,Pauschalen!$A$1:$D$231,2,FALSE)</f>
        <v>28</v>
      </c>
      <c r="AR12" s="83">
        <f t="shared" si="13"/>
        <v>0</v>
      </c>
      <c r="AS12" s="83">
        <f t="shared" si="14"/>
        <v>0</v>
      </c>
      <c r="AT12" s="83">
        <f t="shared" si="14"/>
        <v>0</v>
      </c>
      <c r="AU12" s="83">
        <f t="shared" ref="AU12:AU25" si="20">SUM(AR12:AT12)</f>
        <v>0</v>
      </c>
      <c r="AV12" s="114" t="s">
        <v>232</v>
      </c>
      <c r="AW12" s="115" t="s">
        <v>284</v>
      </c>
      <c r="AX12"/>
    </row>
    <row r="13" spans="1:50" s="109" customFormat="1" ht="28.5" customHeight="1" thickBot="1" x14ac:dyDescent="0.25">
      <c r="A13" s="305"/>
      <c r="B13" s="306"/>
      <c r="C13" s="97">
        <v>45315</v>
      </c>
      <c r="D13" s="98" t="s">
        <v>298</v>
      </c>
      <c r="E13" s="98" t="s">
        <v>220</v>
      </c>
      <c r="F13" s="99"/>
      <c r="G13" s="99"/>
      <c r="H13" s="98"/>
      <c r="I13" s="98" t="s">
        <v>233</v>
      </c>
      <c r="J13" s="100">
        <v>45316</v>
      </c>
      <c r="K13" s="116">
        <v>45315</v>
      </c>
      <c r="L13" s="101" t="s">
        <v>140</v>
      </c>
      <c r="M13" s="117"/>
      <c r="N13" s="102">
        <f>IF(OR($AG$1=0,Z13=0,AA13=0),"",VLOOKUP(AO13,VMA[#All],Beispielabrechnung!AP13,FALSE))</f>
        <v>28</v>
      </c>
      <c r="O13" s="118" t="s">
        <v>206</v>
      </c>
      <c r="P13" s="118"/>
      <c r="Q13" s="118"/>
      <c r="R13" s="103">
        <f t="shared" si="0"/>
        <v>22.4</v>
      </c>
      <c r="S13" s="101"/>
      <c r="T13" s="119"/>
      <c r="U13" s="105" t="str">
        <f>IF(OR($AG$1=0,$AG$3&lt;&gt;2,$AG$5&lt;&gt;1),"",IF(S13&lt;&gt;"",VLOOKUP(S13,Pauschalen!$A$1:$D$231,4,FALSE),""))</f>
        <v/>
      </c>
      <c r="V13" s="120"/>
      <c r="W13" s="121"/>
      <c r="X13" s="122">
        <v>365</v>
      </c>
      <c r="Z13" s="83">
        <f t="shared" si="1"/>
        <v>1</v>
      </c>
      <c r="AA13" s="83">
        <f t="shared" si="2"/>
        <v>1</v>
      </c>
      <c r="AB13" s="83">
        <f t="shared" si="3"/>
        <v>0</v>
      </c>
      <c r="AC13" s="110">
        <f t="shared" si="15"/>
        <v>0</v>
      </c>
      <c r="AD13" s="83">
        <f t="shared" si="16"/>
        <v>0</v>
      </c>
      <c r="AE13" s="83">
        <f t="shared" si="17"/>
        <v>0</v>
      </c>
      <c r="AF13" s="83">
        <f t="shared" si="4"/>
        <v>0</v>
      </c>
      <c r="AG13" s="83">
        <f t="shared" si="5"/>
        <v>0</v>
      </c>
      <c r="AH13" s="83">
        <f t="shared" si="6"/>
        <v>0</v>
      </c>
      <c r="AI13" s="83">
        <f t="shared" si="7"/>
        <v>0</v>
      </c>
      <c r="AJ13" s="83">
        <f t="shared" si="8"/>
        <v>0</v>
      </c>
      <c r="AK13" s="83">
        <f t="shared" si="9"/>
        <v>1</v>
      </c>
      <c r="AL13" s="83" t="str">
        <f t="shared" si="10"/>
        <v>Deutschland</v>
      </c>
      <c r="AM13" s="83">
        <f t="shared" si="11"/>
        <v>0</v>
      </c>
      <c r="AN13" s="83">
        <f t="shared" si="12"/>
        <v>0</v>
      </c>
      <c r="AO13" s="83" t="str">
        <f t="shared" si="18"/>
        <v>Deutschland</v>
      </c>
      <c r="AP13" s="83">
        <f t="shared" si="19"/>
        <v>2</v>
      </c>
      <c r="AQ13" s="83">
        <f>VLOOKUP(AO13,Pauschalen!$A$1:$D$231,2,FALSE)</f>
        <v>28</v>
      </c>
      <c r="AR13" s="83">
        <f t="shared" si="13"/>
        <v>0.2</v>
      </c>
      <c r="AS13" s="83">
        <f t="shared" si="14"/>
        <v>0</v>
      </c>
      <c r="AT13" s="83">
        <f t="shared" si="14"/>
        <v>0</v>
      </c>
      <c r="AU13" s="83">
        <f t="shared" si="20"/>
        <v>0.2</v>
      </c>
      <c r="AV13" s="114" t="s">
        <v>324</v>
      </c>
      <c r="AW13" s="115" t="s">
        <v>282</v>
      </c>
      <c r="AX13" s="73"/>
    </row>
    <row r="14" spans="1:50" s="109" customFormat="1" ht="28.5" customHeight="1" thickBot="1" x14ac:dyDescent="0.25">
      <c r="A14" s="233" t="str">
        <f t="shared" ref="A14:A19" si="21">IF(AJ14=1,$AW$12,IF(AM14=1,$AW$13,IF(AN14=1,$AW$14,IF(AD14=1,$AW$11,""))))</f>
        <v/>
      </c>
      <c r="B14" s="233"/>
      <c r="C14" s="97">
        <v>45316</v>
      </c>
      <c r="D14" s="98" t="s">
        <v>298</v>
      </c>
      <c r="E14" s="98" t="s">
        <v>220</v>
      </c>
      <c r="F14" s="99"/>
      <c r="G14" s="99"/>
      <c r="H14" s="98"/>
      <c r="I14" s="98" t="s">
        <v>233</v>
      </c>
      <c r="J14" s="100">
        <v>45316</v>
      </c>
      <c r="K14" s="100"/>
      <c r="L14" s="101" t="s">
        <v>35</v>
      </c>
      <c r="M14" s="101"/>
      <c r="N14" s="102">
        <f>IF(OR($AG$1=0,Z14=0,AA14=0),"",VLOOKUP(AO14,VMA[#All],Beispielabrechnung!AP14,FALSE))</f>
        <v>54</v>
      </c>
      <c r="O14" s="118" t="s">
        <v>206</v>
      </c>
      <c r="P14" s="118"/>
      <c r="Q14" s="99"/>
      <c r="R14" s="103">
        <f t="shared" si="0"/>
        <v>43.2</v>
      </c>
      <c r="S14" s="101"/>
      <c r="T14" s="104"/>
      <c r="U14" s="105" t="str">
        <f>IF(OR($AG$1=0,$AG$3&lt;&gt;2,$AG$5&lt;&gt;1),"",IF(S14&lt;&gt;"",VLOOKUP(S14,Pauschalen!$A$1:$D$231,4,FALSE),""))</f>
        <v/>
      </c>
      <c r="V14" s="106"/>
      <c r="W14" s="107"/>
      <c r="X14" s="108">
        <v>25</v>
      </c>
      <c r="Z14" s="83">
        <f t="shared" si="1"/>
        <v>1</v>
      </c>
      <c r="AA14" s="83">
        <f t="shared" si="2"/>
        <v>1</v>
      </c>
      <c r="AB14" s="83">
        <f t="shared" si="3"/>
        <v>0</v>
      </c>
      <c r="AC14" s="110">
        <f t="shared" si="15"/>
        <v>0</v>
      </c>
      <c r="AD14" s="83">
        <f t="shared" si="16"/>
        <v>0</v>
      </c>
      <c r="AE14" s="83">
        <f t="shared" si="17"/>
        <v>0</v>
      </c>
      <c r="AF14" s="83">
        <f t="shared" si="4"/>
        <v>0</v>
      </c>
      <c r="AG14" s="83">
        <f t="shared" si="5"/>
        <v>0</v>
      </c>
      <c r="AH14" s="83">
        <f t="shared" si="6"/>
        <v>0</v>
      </c>
      <c r="AI14" s="83">
        <f t="shared" si="7"/>
        <v>0</v>
      </c>
      <c r="AJ14" s="83">
        <f t="shared" si="8"/>
        <v>0</v>
      </c>
      <c r="AK14" s="83">
        <f t="shared" si="9"/>
        <v>1</v>
      </c>
      <c r="AL14" s="83" t="str">
        <f t="shared" si="10"/>
        <v>Finnland</v>
      </c>
      <c r="AM14" s="83">
        <f t="shared" si="11"/>
        <v>0</v>
      </c>
      <c r="AN14" s="83">
        <f t="shared" si="12"/>
        <v>0</v>
      </c>
      <c r="AO14" s="83" t="str">
        <f>IF(AB14=1,AE14,IF(AF14=1,AG14,IF(AH14=1,AI14,IF(AK14=1,AL14,0))))</f>
        <v>Finnland</v>
      </c>
      <c r="AP14" s="83">
        <f t="shared" si="19"/>
        <v>2</v>
      </c>
      <c r="AQ14" s="83">
        <f>VLOOKUP(AO14,Pauschalen!$A$1:$D$231,2,FALSE)</f>
        <v>54</v>
      </c>
      <c r="AR14" s="83">
        <f t="shared" si="13"/>
        <v>0.2</v>
      </c>
      <c r="AS14" s="83">
        <f t="shared" si="14"/>
        <v>0</v>
      </c>
      <c r="AT14" s="83">
        <f t="shared" si="14"/>
        <v>0</v>
      </c>
      <c r="AU14" s="83">
        <f t="shared" si="20"/>
        <v>0.2</v>
      </c>
      <c r="AV14" s="114" t="s">
        <v>325</v>
      </c>
      <c r="AW14" s="115" t="s">
        <v>283</v>
      </c>
    </row>
    <row r="15" spans="1:50" s="109" customFormat="1" ht="28.5" customHeight="1" thickBot="1" x14ac:dyDescent="0.25">
      <c r="A15" s="233" t="str">
        <f t="shared" si="21"/>
        <v/>
      </c>
      <c r="B15" s="233"/>
      <c r="C15" s="97">
        <v>45317</v>
      </c>
      <c r="D15" s="98" t="s">
        <v>298</v>
      </c>
      <c r="E15" s="98" t="s">
        <v>220</v>
      </c>
      <c r="F15" s="99"/>
      <c r="G15" s="99"/>
      <c r="H15" s="98"/>
      <c r="I15" s="98"/>
      <c r="J15" s="100"/>
      <c r="K15" s="116"/>
      <c r="L15" s="101" t="s">
        <v>35</v>
      </c>
      <c r="M15" s="117"/>
      <c r="N15" s="102">
        <f>IF(OR($AG$1=0,Z15=0,AA15=0),"",VLOOKUP(AO15,VMA[#All],Beispielabrechnung!AP15,FALSE))</f>
        <v>54</v>
      </c>
      <c r="O15" s="118" t="s">
        <v>206</v>
      </c>
      <c r="P15" s="118"/>
      <c r="Q15" s="118"/>
      <c r="R15" s="103">
        <f t="shared" si="0"/>
        <v>43.2</v>
      </c>
      <c r="S15" s="101"/>
      <c r="T15" s="119"/>
      <c r="U15" s="105" t="str">
        <f>IF(OR($AG$1=0,$AG$3&lt;&gt;2,$AG$5&lt;&gt;1),"",IF(S15&lt;&gt;"",VLOOKUP(S15,Pauschalen!$A$1:$D$231,4,FALSE),""))</f>
        <v/>
      </c>
      <c r="V15" s="120"/>
      <c r="W15" s="121"/>
      <c r="X15" s="122">
        <v>31</v>
      </c>
      <c r="Z15" s="83">
        <f t="shared" si="1"/>
        <v>1</v>
      </c>
      <c r="AA15" s="83">
        <f t="shared" si="2"/>
        <v>1</v>
      </c>
      <c r="AB15" s="83">
        <f t="shared" si="3"/>
        <v>0</v>
      </c>
      <c r="AC15" s="110">
        <f t="shared" si="15"/>
        <v>0</v>
      </c>
      <c r="AD15" s="83">
        <f t="shared" si="16"/>
        <v>0</v>
      </c>
      <c r="AE15" s="83">
        <f t="shared" si="17"/>
        <v>0</v>
      </c>
      <c r="AF15" s="83">
        <f t="shared" si="4"/>
        <v>1</v>
      </c>
      <c r="AG15" s="83" t="str">
        <f t="shared" si="5"/>
        <v>Finnland</v>
      </c>
      <c r="AH15" s="83">
        <f t="shared" si="6"/>
        <v>0</v>
      </c>
      <c r="AI15" s="83">
        <f t="shared" si="7"/>
        <v>0</v>
      </c>
      <c r="AJ15" s="83">
        <f t="shared" si="8"/>
        <v>0</v>
      </c>
      <c r="AK15" s="83">
        <f t="shared" si="9"/>
        <v>0</v>
      </c>
      <c r="AL15" s="83">
        <f t="shared" si="10"/>
        <v>0</v>
      </c>
      <c r="AM15" s="83">
        <f t="shared" si="11"/>
        <v>0</v>
      </c>
      <c r="AN15" s="83">
        <f t="shared" si="12"/>
        <v>0</v>
      </c>
      <c r="AO15" s="83" t="str">
        <f t="shared" ref="AO15:AO25" si="22">IF(AB15=1,AE15,IF(AF15=1,AG15,IF(AH15=1,AI15,IF(AK15=1,AL15,0))))</f>
        <v>Finnland</v>
      </c>
      <c r="AP15" s="83">
        <f t="shared" si="19"/>
        <v>2</v>
      </c>
      <c r="AQ15" s="83">
        <f>VLOOKUP(AO15,Pauschalen!$A$1:$D$231,2,FALSE)</f>
        <v>54</v>
      </c>
      <c r="AR15" s="83">
        <f t="shared" si="13"/>
        <v>0.2</v>
      </c>
      <c r="AS15" s="83">
        <f t="shared" si="14"/>
        <v>0</v>
      </c>
      <c r="AT15" s="83">
        <f t="shared" si="14"/>
        <v>0</v>
      </c>
      <c r="AU15" s="83">
        <f t="shared" si="20"/>
        <v>0.2</v>
      </c>
    </row>
    <row r="16" spans="1:50" s="109" customFormat="1" ht="28.5" customHeight="1" thickBot="1" x14ac:dyDescent="0.25">
      <c r="A16" s="233" t="str">
        <f t="shared" si="21"/>
        <v/>
      </c>
      <c r="B16" s="233"/>
      <c r="C16" s="97">
        <v>45318</v>
      </c>
      <c r="D16" s="98" t="s">
        <v>298</v>
      </c>
      <c r="E16" s="98" t="s">
        <v>220</v>
      </c>
      <c r="F16" s="99"/>
      <c r="G16" s="99"/>
      <c r="H16" s="98" t="s">
        <v>258</v>
      </c>
      <c r="I16" s="98" t="s">
        <v>232</v>
      </c>
      <c r="J16" s="100">
        <v>45318</v>
      </c>
      <c r="K16" s="100"/>
      <c r="L16" s="101" t="s">
        <v>140</v>
      </c>
      <c r="M16" s="101" t="s">
        <v>35</v>
      </c>
      <c r="N16" s="102">
        <f>IF(OR($AG$1=0,Z16=0,AA16=0),"",VLOOKUP(AO16,VMA[#All],Beispielabrechnung!AP16,FALSE))</f>
        <v>36</v>
      </c>
      <c r="O16" s="118" t="s">
        <v>206</v>
      </c>
      <c r="P16" s="118"/>
      <c r="Q16" s="99"/>
      <c r="R16" s="103">
        <f t="shared" si="0"/>
        <v>25.2</v>
      </c>
      <c r="S16" s="101"/>
      <c r="T16" s="104"/>
      <c r="U16" s="105" t="str">
        <f>IF(OR($AG$1=0,$AG$3&lt;&gt;2,$AG$5&lt;&gt;1),"",IF(S16&lt;&gt;"",VLOOKUP(S16,Pauschalen!$A$1:$D$231,4,FALSE),""))</f>
        <v/>
      </c>
      <c r="V16" s="106"/>
      <c r="W16" s="107"/>
      <c r="X16" s="108">
        <v>16</v>
      </c>
      <c r="Z16" s="83">
        <f t="shared" si="1"/>
        <v>1</v>
      </c>
      <c r="AA16" s="83">
        <f t="shared" si="2"/>
        <v>1</v>
      </c>
      <c r="AB16" s="83">
        <f t="shared" si="3"/>
        <v>0</v>
      </c>
      <c r="AC16" s="110">
        <f t="shared" si="15"/>
        <v>0</v>
      </c>
      <c r="AD16" s="83">
        <f t="shared" si="16"/>
        <v>0</v>
      </c>
      <c r="AE16" s="83">
        <f t="shared" si="17"/>
        <v>0</v>
      </c>
      <c r="AF16" s="83">
        <f t="shared" si="4"/>
        <v>0</v>
      </c>
      <c r="AG16" s="83">
        <f t="shared" si="5"/>
        <v>0</v>
      </c>
      <c r="AH16" s="83">
        <f t="shared" si="6"/>
        <v>1</v>
      </c>
      <c r="AI16" s="83" t="str">
        <f t="shared" si="7"/>
        <v>Finnland</v>
      </c>
      <c r="AJ16" s="83">
        <f t="shared" si="8"/>
        <v>0</v>
      </c>
      <c r="AK16" s="83">
        <f t="shared" si="9"/>
        <v>0</v>
      </c>
      <c r="AL16" s="83">
        <f t="shared" si="10"/>
        <v>0</v>
      </c>
      <c r="AM16" s="83">
        <f t="shared" si="11"/>
        <v>0</v>
      </c>
      <c r="AN16" s="83">
        <f t="shared" si="12"/>
        <v>0</v>
      </c>
      <c r="AO16" s="83" t="str">
        <f t="shared" si="22"/>
        <v>Finnland</v>
      </c>
      <c r="AP16" s="83">
        <f t="shared" si="19"/>
        <v>3</v>
      </c>
      <c r="AQ16" s="83">
        <f>VLOOKUP(AO16,Pauschalen!$A$1:$D$231,2,FALSE)</f>
        <v>54</v>
      </c>
      <c r="AR16" s="83">
        <f t="shared" si="13"/>
        <v>0.2</v>
      </c>
      <c r="AS16" s="83">
        <f t="shared" si="14"/>
        <v>0</v>
      </c>
      <c r="AT16" s="83">
        <f t="shared" si="14"/>
        <v>0</v>
      </c>
      <c r="AU16" s="83">
        <f t="shared" si="20"/>
        <v>0.2</v>
      </c>
    </row>
    <row r="17" spans="1:47" s="109" customFormat="1" ht="28.5" customHeight="1" thickBot="1" x14ac:dyDescent="0.25">
      <c r="A17" s="233" t="str">
        <f t="shared" si="21"/>
        <v/>
      </c>
      <c r="B17" s="233"/>
      <c r="C17" s="97">
        <v>45342</v>
      </c>
      <c r="D17" s="98" t="s">
        <v>303</v>
      </c>
      <c r="E17" s="98" t="s">
        <v>220</v>
      </c>
      <c r="F17" s="99"/>
      <c r="G17" s="99"/>
      <c r="H17" s="98" t="s">
        <v>251</v>
      </c>
      <c r="I17" s="98" t="s">
        <v>232</v>
      </c>
      <c r="J17" s="100">
        <v>45343</v>
      </c>
      <c r="K17" s="116">
        <v>45342</v>
      </c>
      <c r="L17" s="101" t="s">
        <v>140</v>
      </c>
      <c r="M17" s="117"/>
      <c r="N17" s="102">
        <f>IF(OR($AG$1=0,Z17=0,AA17=0),"",VLOOKUP(AO17,VMA[#All],Beispielabrechnung!AP17,FALSE))</f>
        <v>14</v>
      </c>
      <c r="O17" s="118"/>
      <c r="P17" s="118"/>
      <c r="Q17" s="118"/>
      <c r="R17" s="103">
        <f t="shared" si="0"/>
        <v>14</v>
      </c>
      <c r="S17" s="101"/>
      <c r="T17" s="119"/>
      <c r="U17" s="105" t="str">
        <f>IF(OR($AG$1=0,$AG$3&lt;&gt;2,$AG$5&lt;&gt;1),"",IF(S17&lt;&gt;"",VLOOKUP(S17,Pauschalen!$A$1:$D$231,4,FALSE),""))</f>
        <v/>
      </c>
      <c r="V17" s="120"/>
      <c r="W17" s="121"/>
      <c r="X17" s="122"/>
      <c r="Z17" s="83">
        <f t="shared" si="1"/>
        <v>1</v>
      </c>
      <c r="AA17" s="83">
        <f t="shared" si="2"/>
        <v>1</v>
      </c>
      <c r="AB17" s="83">
        <f t="shared" si="3"/>
        <v>0</v>
      </c>
      <c r="AC17" s="110">
        <f t="shared" si="15"/>
        <v>0</v>
      </c>
      <c r="AD17" s="83">
        <f t="shared" si="16"/>
        <v>0</v>
      </c>
      <c r="AE17" s="83">
        <f t="shared" si="17"/>
        <v>0</v>
      </c>
      <c r="AF17" s="83">
        <f t="shared" si="4"/>
        <v>0</v>
      </c>
      <c r="AG17" s="83">
        <f t="shared" si="5"/>
        <v>0</v>
      </c>
      <c r="AH17" s="83">
        <f t="shared" si="6"/>
        <v>1</v>
      </c>
      <c r="AI17" s="83" t="str">
        <f t="shared" si="7"/>
        <v>Deutschland</v>
      </c>
      <c r="AJ17" s="83">
        <f t="shared" si="8"/>
        <v>0</v>
      </c>
      <c r="AK17" s="83">
        <f t="shared" si="9"/>
        <v>0</v>
      </c>
      <c r="AL17" s="83">
        <f t="shared" si="10"/>
        <v>0</v>
      </c>
      <c r="AM17" s="83">
        <f t="shared" si="11"/>
        <v>0</v>
      </c>
      <c r="AN17" s="83">
        <f t="shared" si="12"/>
        <v>0</v>
      </c>
      <c r="AO17" s="83" t="str">
        <f t="shared" si="22"/>
        <v>Deutschland</v>
      </c>
      <c r="AP17" s="83">
        <f t="shared" si="19"/>
        <v>3</v>
      </c>
      <c r="AQ17" s="83">
        <f>VLOOKUP(AO17,Pauschalen!$A$1:$D$231,2,FALSE)</f>
        <v>28</v>
      </c>
      <c r="AR17" s="83">
        <f t="shared" si="13"/>
        <v>0</v>
      </c>
      <c r="AS17" s="83">
        <f t="shared" si="14"/>
        <v>0</v>
      </c>
      <c r="AT17" s="83">
        <f t="shared" si="14"/>
        <v>0</v>
      </c>
      <c r="AU17" s="83">
        <f t="shared" si="20"/>
        <v>0</v>
      </c>
    </row>
    <row r="18" spans="1:47" s="109" customFormat="1" ht="28.5" customHeight="1" thickBot="1" x14ac:dyDescent="0.25">
      <c r="A18" s="233" t="str">
        <f t="shared" si="21"/>
        <v/>
      </c>
      <c r="B18" s="233"/>
      <c r="C18" s="97">
        <v>45343</v>
      </c>
      <c r="D18" s="98" t="s">
        <v>303</v>
      </c>
      <c r="E18" s="98" t="s">
        <v>220</v>
      </c>
      <c r="F18" s="99"/>
      <c r="G18" s="99"/>
      <c r="H18" s="98"/>
      <c r="I18" s="98" t="s">
        <v>232</v>
      </c>
      <c r="J18" s="100">
        <v>45343</v>
      </c>
      <c r="K18" s="100"/>
      <c r="L18" s="101" t="s">
        <v>225</v>
      </c>
      <c r="M18" s="117"/>
      <c r="N18" s="102">
        <f>IF(OR($AG$1=0,Z18=0,AA18=0),"",VLOOKUP(AO18,VMA[#All],Beispielabrechnung!AP18,FALSE))</f>
        <v>62</v>
      </c>
      <c r="O18" s="99" t="s">
        <v>206</v>
      </c>
      <c r="P18" s="99"/>
      <c r="Q18" s="99"/>
      <c r="R18" s="103">
        <f t="shared" si="0"/>
        <v>49.6</v>
      </c>
      <c r="S18" s="101" t="s">
        <v>225</v>
      </c>
      <c r="T18" s="104">
        <v>126</v>
      </c>
      <c r="U18" s="105">
        <f>IF(OR($AG$1=0,$AG$3&lt;&gt;2,$AG$5&lt;&gt;1),"",IF(S18&lt;&gt;"",VLOOKUP(S18,Pauschalen!$A$1:$D$231,4,FALSE),""))</f>
        <v>204</v>
      </c>
      <c r="V18" s="106"/>
      <c r="W18" s="107"/>
      <c r="X18" s="108">
        <v>32</v>
      </c>
      <c r="Z18" s="83">
        <f t="shared" si="1"/>
        <v>1</v>
      </c>
      <c r="AA18" s="83">
        <f t="shared" si="2"/>
        <v>1</v>
      </c>
      <c r="AB18" s="83">
        <f t="shared" si="3"/>
        <v>0</v>
      </c>
      <c r="AC18" s="110">
        <f t="shared" si="15"/>
        <v>0</v>
      </c>
      <c r="AD18" s="83">
        <f t="shared" si="16"/>
        <v>0</v>
      </c>
      <c r="AE18" s="83">
        <f t="shared" si="17"/>
        <v>0</v>
      </c>
      <c r="AF18" s="83">
        <f t="shared" si="4"/>
        <v>0</v>
      </c>
      <c r="AG18" s="83">
        <f t="shared" si="5"/>
        <v>0</v>
      </c>
      <c r="AH18" s="83">
        <f t="shared" si="6"/>
        <v>1</v>
      </c>
      <c r="AI18" s="83" t="str">
        <f t="shared" si="7"/>
        <v>USA: Houston</v>
      </c>
      <c r="AJ18" s="83">
        <f t="shared" si="8"/>
        <v>0</v>
      </c>
      <c r="AK18" s="83">
        <f t="shared" si="9"/>
        <v>0</v>
      </c>
      <c r="AL18" s="83">
        <f t="shared" si="10"/>
        <v>0</v>
      </c>
      <c r="AM18" s="83">
        <f t="shared" si="11"/>
        <v>0</v>
      </c>
      <c r="AN18" s="83">
        <f t="shared" si="12"/>
        <v>0</v>
      </c>
      <c r="AO18" s="83" t="str">
        <f t="shared" si="22"/>
        <v>USA: Houston</v>
      </c>
      <c r="AP18" s="83">
        <f t="shared" si="19"/>
        <v>2</v>
      </c>
      <c r="AQ18" s="83">
        <f>VLOOKUP(AO18,Pauschalen!$A$1:$D$231,2,FALSE)</f>
        <v>62</v>
      </c>
      <c r="AR18" s="83">
        <f t="shared" si="13"/>
        <v>0.2</v>
      </c>
      <c r="AS18" s="83">
        <f t="shared" si="14"/>
        <v>0</v>
      </c>
      <c r="AT18" s="83">
        <f t="shared" si="14"/>
        <v>0</v>
      </c>
      <c r="AU18" s="83">
        <f t="shared" si="20"/>
        <v>0.2</v>
      </c>
    </row>
    <row r="19" spans="1:47" s="109" customFormat="1" ht="28.5" customHeight="1" thickBot="1" x14ac:dyDescent="0.25">
      <c r="A19" s="233" t="str">
        <f t="shared" si="21"/>
        <v/>
      </c>
      <c r="B19" s="233"/>
      <c r="C19" s="97">
        <v>45344</v>
      </c>
      <c r="D19" s="98" t="s">
        <v>303</v>
      </c>
      <c r="E19" s="98" t="s">
        <v>220</v>
      </c>
      <c r="F19" s="99"/>
      <c r="G19" s="99"/>
      <c r="H19" s="98"/>
      <c r="I19" s="98"/>
      <c r="J19" s="100"/>
      <c r="K19" s="116"/>
      <c r="L19" s="101" t="s">
        <v>225</v>
      </c>
      <c r="M19" s="117"/>
      <c r="N19" s="102">
        <f>IF(OR($AG$1=0,Z19=0,AA19=0),"",VLOOKUP(AO19,VMA[#All],Beispielabrechnung!AP19,FALSE))</f>
        <v>62</v>
      </c>
      <c r="O19" s="118" t="s">
        <v>206</v>
      </c>
      <c r="P19" s="118"/>
      <c r="Q19" s="118"/>
      <c r="R19" s="103">
        <f t="shared" si="0"/>
        <v>49.6</v>
      </c>
      <c r="S19" s="101" t="s">
        <v>225</v>
      </c>
      <c r="T19" s="119">
        <v>126</v>
      </c>
      <c r="U19" s="105">
        <f>IF(OR($AG$1=0,$AG$3&lt;&gt;2,$AG$5&lt;&gt;1),"",IF(S19&lt;&gt;"",VLOOKUP(S19,Pauschalen!$A$1:$D$231,4,FALSE),""))</f>
        <v>204</v>
      </c>
      <c r="V19" s="120"/>
      <c r="W19" s="121"/>
      <c r="X19" s="122">
        <v>52</v>
      </c>
      <c r="Z19" s="83">
        <f t="shared" si="1"/>
        <v>1</v>
      </c>
      <c r="AA19" s="83">
        <f t="shared" si="2"/>
        <v>1</v>
      </c>
      <c r="AB19" s="83">
        <f t="shared" si="3"/>
        <v>0</v>
      </c>
      <c r="AC19" s="110">
        <f t="shared" si="15"/>
        <v>0</v>
      </c>
      <c r="AD19" s="83">
        <f t="shared" si="16"/>
        <v>0</v>
      </c>
      <c r="AE19" s="83">
        <f t="shared" si="17"/>
        <v>0</v>
      </c>
      <c r="AF19" s="83">
        <f t="shared" si="4"/>
        <v>1</v>
      </c>
      <c r="AG19" s="83" t="str">
        <f t="shared" si="5"/>
        <v>USA: Houston</v>
      </c>
      <c r="AH19" s="83">
        <f t="shared" si="6"/>
        <v>0</v>
      </c>
      <c r="AI19" s="83">
        <f t="shared" si="7"/>
        <v>0</v>
      </c>
      <c r="AJ19" s="83">
        <f t="shared" si="8"/>
        <v>0</v>
      </c>
      <c r="AK19" s="83">
        <f t="shared" si="9"/>
        <v>0</v>
      </c>
      <c r="AL19" s="83">
        <f t="shared" si="10"/>
        <v>0</v>
      </c>
      <c r="AM19" s="83">
        <f t="shared" si="11"/>
        <v>0</v>
      </c>
      <c r="AN19" s="83">
        <f t="shared" si="12"/>
        <v>0</v>
      </c>
      <c r="AO19" s="83" t="str">
        <f t="shared" si="22"/>
        <v>USA: Houston</v>
      </c>
      <c r="AP19" s="83">
        <f t="shared" si="19"/>
        <v>2</v>
      </c>
      <c r="AQ19" s="83">
        <f>VLOOKUP(AO19,Pauschalen!$A$1:$D$231,2,FALSE)</f>
        <v>62</v>
      </c>
      <c r="AR19" s="83">
        <f t="shared" si="13"/>
        <v>0.2</v>
      </c>
      <c r="AS19" s="83">
        <f t="shared" si="14"/>
        <v>0</v>
      </c>
      <c r="AT19" s="83">
        <f t="shared" si="14"/>
        <v>0</v>
      </c>
      <c r="AU19" s="83">
        <f t="shared" si="20"/>
        <v>0.2</v>
      </c>
    </row>
    <row r="20" spans="1:47" s="109" customFormat="1" ht="28.5" customHeight="1" thickBot="1" x14ac:dyDescent="0.25">
      <c r="A20" s="233" t="str">
        <f t="shared" ref="A20:A25" si="23">IF(AJ20=1,$AW$12,IF(AM20=1,$AW$13,IF(AN20=1,$AW$14,IF(AD20=1,$AW$11,""))))</f>
        <v/>
      </c>
      <c r="B20" s="233"/>
      <c r="C20" s="97">
        <v>45345</v>
      </c>
      <c r="D20" s="98" t="s">
        <v>304</v>
      </c>
      <c r="E20" s="98" t="s">
        <v>220</v>
      </c>
      <c r="F20" s="99"/>
      <c r="G20" s="99"/>
      <c r="H20" s="98"/>
      <c r="I20" s="98"/>
      <c r="J20" s="100"/>
      <c r="K20" s="100"/>
      <c r="L20" s="101" t="s">
        <v>231</v>
      </c>
      <c r="M20" s="101"/>
      <c r="N20" s="102">
        <f>IF(OR($AG$1=0,Z20=0,AA20=0),"",VLOOKUP(AO20,VMA[#All],Beispielabrechnung!AP20,FALSE))</f>
        <v>59</v>
      </c>
      <c r="O20" s="118" t="s">
        <v>206</v>
      </c>
      <c r="P20" s="118"/>
      <c r="Q20" s="99"/>
      <c r="R20" s="103">
        <f t="shared" si="0"/>
        <v>47.2</v>
      </c>
      <c r="S20" s="101" t="s">
        <v>231</v>
      </c>
      <c r="T20" s="104">
        <v>154</v>
      </c>
      <c r="U20" s="105">
        <f>IF(OR($AG$1=0,$AG$3&lt;&gt;2,$AG$5&lt;&gt;1),"",IF(S20&lt;&gt;"",VLOOKUP(S20,Pauschalen!$A$1:$D$231,4,FALSE),""))</f>
        <v>182</v>
      </c>
      <c r="V20" s="106"/>
      <c r="W20" s="107"/>
      <c r="X20" s="108">
        <v>215</v>
      </c>
      <c r="Z20" s="83">
        <f t="shared" si="1"/>
        <v>1</v>
      </c>
      <c r="AA20" s="83">
        <f t="shared" si="2"/>
        <v>1</v>
      </c>
      <c r="AB20" s="83">
        <f t="shared" si="3"/>
        <v>0</v>
      </c>
      <c r="AC20" s="110">
        <f t="shared" si="15"/>
        <v>0</v>
      </c>
      <c r="AD20" s="83">
        <f t="shared" si="16"/>
        <v>0</v>
      </c>
      <c r="AE20" s="83">
        <f t="shared" si="17"/>
        <v>0</v>
      </c>
      <c r="AF20" s="83">
        <f t="shared" si="4"/>
        <v>1</v>
      </c>
      <c r="AG20" s="83" t="str">
        <f t="shared" si="5"/>
        <v>USA: (Übrige)</v>
      </c>
      <c r="AH20" s="83">
        <f t="shared" si="6"/>
        <v>0</v>
      </c>
      <c r="AI20" s="83">
        <f t="shared" si="7"/>
        <v>0</v>
      </c>
      <c r="AJ20" s="83">
        <f t="shared" si="8"/>
        <v>0</v>
      </c>
      <c r="AK20" s="83">
        <f t="shared" si="9"/>
        <v>0</v>
      </c>
      <c r="AL20" s="83">
        <f t="shared" si="10"/>
        <v>0</v>
      </c>
      <c r="AM20" s="83">
        <f t="shared" si="11"/>
        <v>0</v>
      </c>
      <c r="AN20" s="83">
        <f t="shared" si="12"/>
        <v>0</v>
      </c>
      <c r="AO20" s="83" t="str">
        <f t="shared" si="22"/>
        <v>USA: (Übrige)</v>
      </c>
      <c r="AP20" s="83">
        <f t="shared" si="19"/>
        <v>2</v>
      </c>
      <c r="AQ20" s="83">
        <f>VLOOKUP(AO20,Pauschalen!$A$1:$D$231,2,FALSE)</f>
        <v>59</v>
      </c>
      <c r="AR20" s="83">
        <f t="shared" si="13"/>
        <v>0.2</v>
      </c>
      <c r="AS20" s="83">
        <f t="shared" si="14"/>
        <v>0</v>
      </c>
      <c r="AT20" s="83">
        <f t="shared" si="14"/>
        <v>0</v>
      </c>
      <c r="AU20" s="83">
        <f t="shared" si="20"/>
        <v>0.2</v>
      </c>
    </row>
    <row r="21" spans="1:47" s="109" customFormat="1" ht="28.5" customHeight="1" thickBot="1" x14ac:dyDescent="0.25">
      <c r="A21" s="233" t="str">
        <f t="shared" si="23"/>
        <v/>
      </c>
      <c r="B21" s="233"/>
      <c r="C21" s="97">
        <v>45346</v>
      </c>
      <c r="D21" s="98" t="s">
        <v>304</v>
      </c>
      <c r="E21" s="98" t="s">
        <v>220</v>
      </c>
      <c r="F21" s="99"/>
      <c r="G21" s="99"/>
      <c r="H21" s="98"/>
      <c r="I21" s="98"/>
      <c r="J21" s="100"/>
      <c r="K21" s="116"/>
      <c r="L21" s="101" t="s">
        <v>231</v>
      </c>
      <c r="M21" s="117"/>
      <c r="N21" s="102">
        <f>IF(OR($AG$1=0,Z21=0,AA21=0),"",VLOOKUP(AO21,VMA[#All],Beispielabrechnung!AP21,FALSE))</f>
        <v>59</v>
      </c>
      <c r="O21" s="118" t="s">
        <v>206</v>
      </c>
      <c r="P21" s="118"/>
      <c r="Q21" s="118"/>
      <c r="R21" s="103">
        <f t="shared" si="0"/>
        <v>47.2</v>
      </c>
      <c r="S21" s="101" t="s">
        <v>231</v>
      </c>
      <c r="T21" s="119">
        <v>154</v>
      </c>
      <c r="U21" s="105">
        <f>IF(OR($AG$1=0,$AG$3&lt;&gt;2,$AG$5&lt;&gt;1),"",IF(S21&lt;&gt;"",VLOOKUP(S21,Pauschalen!$A$1:$D$231,4,FALSE),""))</f>
        <v>182</v>
      </c>
      <c r="V21" s="120"/>
      <c r="W21" s="121"/>
      <c r="X21" s="122">
        <v>48</v>
      </c>
      <c r="Z21" s="83">
        <f t="shared" si="1"/>
        <v>1</v>
      </c>
      <c r="AA21" s="83">
        <f t="shared" si="2"/>
        <v>1</v>
      </c>
      <c r="AB21" s="83">
        <f t="shared" si="3"/>
        <v>0</v>
      </c>
      <c r="AC21" s="110">
        <f t="shared" si="15"/>
        <v>0</v>
      </c>
      <c r="AD21" s="83">
        <f t="shared" si="16"/>
        <v>0</v>
      </c>
      <c r="AE21" s="83">
        <f t="shared" si="17"/>
        <v>0</v>
      </c>
      <c r="AF21" s="83">
        <f t="shared" si="4"/>
        <v>1</v>
      </c>
      <c r="AG21" s="83" t="str">
        <f t="shared" si="5"/>
        <v>USA: (Übrige)</v>
      </c>
      <c r="AH21" s="83">
        <f t="shared" si="6"/>
        <v>0</v>
      </c>
      <c r="AI21" s="83">
        <f t="shared" si="7"/>
        <v>0</v>
      </c>
      <c r="AJ21" s="83">
        <f t="shared" si="8"/>
        <v>0</v>
      </c>
      <c r="AK21" s="83">
        <f t="shared" si="9"/>
        <v>0</v>
      </c>
      <c r="AL21" s="83">
        <f t="shared" si="10"/>
        <v>0</v>
      </c>
      <c r="AM21" s="83">
        <f t="shared" si="11"/>
        <v>0</v>
      </c>
      <c r="AN21" s="83">
        <f t="shared" si="12"/>
        <v>0</v>
      </c>
      <c r="AO21" s="83" t="str">
        <f t="shared" si="22"/>
        <v>USA: (Übrige)</v>
      </c>
      <c r="AP21" s="83">
        <f t="shared" si="19"/>
        <v>2</v>
      </c>
      <c r="AQ21" s="83">
        <f>VLOOKUP(AO21,Pauschalen!$A$1:$D$231,2,FALSE)</f>
        <v>59</v>
      </c>
      <c r="AR21" s="83">
        <f t="shared" si="13"/>
        <v>0.2</v>
      </c>
      <c r="AS21" s="83">
        <f t="shared" si="14"/>
        <v>0</v>
      </c>
      <c r="AT21" s="83">
        <f t="shared" si="14"/>
        <v>0</v>
      </c>
      <c r="AU21" s="83">
        <f t="shared" si="20"/>
        <v>0.2</v>
      </c>
    </row>
    <row r="22" spans="1:47" s="109" customFormat="1" ht="28.5" customHeight="1" thickBot="1" x14ac:dyDescent="0.25">
      <c r="A22" s="233" t="str">
        <f t="shared" si="23"/>
        <v/>
      </c>
      <c r="B22" s="233"/>
      <c r="C22" s="97">
        <v>45347</v>
      </c>
      <c r="D22" s="98" t="s">
        <v>305</v>
      </c>
      <c r="E22" s="98" t="s">
        <v>220</v>
      </c>
      <c r="F22" s="99"/>
      <c r="G22" s="99"/>
      <c r="H22" s="98" t="s">
        <v>258</v>
      </c>
      <c r="I22" s="98" t="s">
        <v>232</v>
      </c>
      <c r="J22" s="100">
        <v>45347</v>
      </c>
      <c r="K22" s="116"/>
      <c r="L22" s="101" t="s">
        <v>140</v>
      </c>
      <c r="M22" s="117"/>
      <c r="N22" s="102">
        <f>IF(OR($AG$1=0,Z22=0,AA22=0),"",VLOOKUP(AO22,VMA[#All],Beispielabrechnung!AP22,FALSE))</f>
        <v>14</v>
      </c>
      <c r="O22" s="118" t="s">
        <v>206</v>
      </c>
      <c r="P22" s="118"/>
      <c r="Q22" s="118"/>
      <c r="R22" s="103">
        <f t="shared" si="0"/>
        <v>8.3999999999999986</v>
      </c>
      <c r="S22" s="117"/>
      <c r="T22" s="119"/>
      <c r="U22" s="105" t="str">
        <f>IF(OR($AG$1=0,$AG$3&lt;&gt;2,$AG$5&lt;&gt;1),"",IF(S22&lt;&gt;"",VLOOKUP(S22,Pauschalen!$A$1:$D$231,4,FALSE),""))</f>
        <v/>
      </c>
      <c r="V22" s="120"/>
      <c r="W22" s="121"/>
      <c r="X22" s="122">
        <v>18</v>
      </c>
      <c r="Z22" s="83">
        <f t="shared" si="1"/>
        <v>1</v>
      </c>
      <c r="AA22" s="83">
        <f t="shared" si="2"/>
        <v>1</v>
      </c>
      <c r="AB22" s="83">
        <f t="shared" si="3"/>
        <v>0</v>
      </c>
      <c r="AC22" s="110">
        <f t="shared" si="15"/>
        <v>0</v>
      </c>
      <c r="AD22" s="83">
        <f t="shared" si="16"/>
        <v>0</v>
      </c>
      <c r="AE22" s="83">
        <f t="shared" si="17"/>
        <v>0</v>
      </c>
      <c r="AF22" s="83">
        <f t="shared" si="4"/>
        <v>0</v>
      </c>
      <c r="AG22" s="83">
        <f t="shared" si="5"/>
        <v>0</v>
      </c>
      <c r="AH22" s="83">
        <f t="shared" si="6"/>
        <v>1</v>
      </c>
      <c r="AI22" s="83" t="str">
        <f t="shared" si="7"/>
        <v>Deutschland</v>
      </c>
      <c r="AJ22" s="83">
        <f t="shared" si="8"/>
        <v>0</v>
      </c>
      <c r="AK22" s="83">
        <f t="shared" si="9"/>
        <v>0</v>
      </c>
      <c r="AL22" s="83">
        <f t="shared" si="10"/>
        <v>0</v>
      </c>
      <c r="AM22" s="83">
        <f t="shared" si="11"/>
        <v>0</v>
      </c>
      <c r="AN22" s="83">
        <f t="shared" si="12"/>
        <v>0</v>
      </c>
      <c r="AO22" s="83" t="str">
        <f t="shared" si="22"/>
        <v>Deutschland</v>
      </c>
      <c r="AP22" s="83">
        <f t="shared" si="19"/>
        <v>3</v>
      </c>
      <c r="AQ22" s="83">
        <f>VLOOKUP(AO22,Pauschalen!$A$1:$D$231,2,FALSE)</f>
        <v>28</v>
      </c>
      <c r="AR22" s="83">
        <f t="shared" si="13"/>
        <v>0.2</v>
      </c>
      <c r="AS22" s="83">
        <f t="shared" si="14"/>
        <v>0</v>
      </c>
      <c r="AT22" s="83">
        <f t="shared" si="14"/>
        <v>0</v>
      </c>
      <c r="AU22" s="83">
        <f t="shared" ref="AU22:AU23" si="24">SUM(AR22:AT22)</f>
        <v>0.2</v>
      </c>
    </row>
    <row r="23" spans="1:47" s="109" customFormat="1" ht="28.5" customHeight="1" thickBot="1" x14ac:dyDescent="0.25">
      <c r="A23" s="233" t="str">
        <f t="shared" si="23"/>
        <v/>
      </c>
      <c r="B23" s="233"/>
      <c r="C23" s="97">
        <v>45366</v>
      </c>
      <c r="D23" s="98" t="s">
        <v>314</v>
      </c>
      <c r="E23" s="98" t="s">
        <v>234</v>
      </c>
      <c r="F23" s="99">
        <v>0.3125</v>
      </c>
      <c r="G23" s="99">
        <v>0.625</v>
      </c>
      <c r="H23" s="98"/>
      <c r="I23" s="98"/>
      <c r="J23" s="100"/>
      <c r="K23" s="116"/>
      <c r="L23" s="117"/>
      <c r="M23" s="101" t="s">
        <v>127</v>
      </c>
      <c r="N23" s="102">
        <f>IF(OR($AG$1=0,Z23=0,AA23=0),"",VLOOKUP(AO23,VMA[#All],Beispielabrechnung!AP23,FALSE))</f>
        <v>0</v>
      </c>
      <c r="O23" s="118"/>
      <c r="P23" s="118" t="s">
        <v>206</v>
      </c>
      <c r="Q23" s="118"/>
      <c r="R23" s="103">
        <f t="shared" si="0"/>
        <v>-12.8</v>
      </c>
      <c r="S23" s="117"/>
      <c r="T23" s="119"/>
      <c r="U23" s="105" t="str">
        <f>IF(OR($AG$1=0,$AG$3&lt;&gt;2,$AG$5&lt;&gt;1),"",IF(S23&lt;&gt;"",VLOOKUP(S23,Pauschalen!$A$1:$D$231,4,FALSE),""))</f>
        <v/>
      </c>
      <c r="V23" s="120" t="s">
        <v>307</v>
      </c>
      <c r="W23" s="121">
        <v>154</v>
      </c>
      <c r="X23" s="122">
        <v>6</v>
      </c>
      <c r="Z23" s="83">
        <f t="shared" si="1"/>
        <v>1</v>
      </c>
      <c r="AA23" s="83">
        <f t="shared" si="2"/>
        <v>1</v>
      </c>
      <c r="AB23" s="83">
        <f t="shared" si="3"/>
        <v>1</v>
      </c>
      <c r="AC23" s="110">
        <f t="shared" si="15"/>
        <v>0.3125</v>
      </c>
      <c r="AD23" s="83">
        <f t="shared" si="16"/>
        <v>0</v>
      </c>
      <c r="AE23" s="83" t="str">
        <f t="shared" si="17"/>
        <v>Tschechische Republik</v>
      </c>
      <c r="AF23" s="83">
        <f t="shared" si="4"/>
        <v>0</v>
      </c>
      <c r="AG23" s="83">
        <f t="shared" si="5"/>
        <v>0</v>
      </c>
      <c r="AH23" s="83">
        <f t="shared" si="6"/>
        <v>0</v>
      </c>
      <c r="AI23" s="83">
        <f t="shared" si="7"/>
        <v>0</v>
      </c>
      <c r="AJ23" s="83">
        <f t="shared" si="8"/>
        <v>0</v>
      </c>
      <c r="AK23" s="83">
        <f t="shared" si="9"/>
        <v>0</v>
      </c>
      <c r="AL23" s="83">
        <f t="shared" si="10"/>
        <v>0</v>
      </c>
      <c r="AM23" s="83">
        <f t="shared" si="11"/>
        <v>0</v>
      </c>
      <c r="AN23" s="83">
        <f t="shared" si="12"/>
        <v>0</v>
      </c>
      <c r="AO23" s="83" t="str">
        <f t="shared" si="22"/>
        <v>Tschechische Republik</v>
      </c>
      <c r="AP23" s="83">
        <f t="shared" si="19"/>
        <v>5</v>
      </c>
      <c r="AQ23" s="83">
        <f>VLOOKUP(AO23,Pauschalen!$A$1:$D$231,2,FALSE)</f>
        <v>32</v>
      </c>
      <c r="AR23" s="83">
        <f t="shared" si="13"/>
        <v>0</v>
      </c>
      <c r="AS23" s="83">
        <f t="shared" si="14"/>
        <v>0.4</v>
      </c>
      <c r="AT23" s="83">
        <f t="shared" si="14"/>
        <v>0</v>
      </c>
      <c r="AU23" s="83">
        <f t="shared" si="24"/>
        <v>0.4</v>
      </c>
    </row>
    <row r="24" spans="1:47" s="109" customFormat="1" ht="28.5" customHeight="1" thickBot="1" x14ac:dyDescent="0.25">
      <c r="A24" s="233" t="str">
        <f t="shared" si="23"/>
        <v/>
      </c>
      <c r="B24" s="233"/>
      <c r="C24" s="97">
        <v>45379</v>
      </c>
      <c r="D24" s="98" t="s">
        <v>306</v>
      </c>
      <c r="E24" s="98" t="s">
        <v>220</v>
      </c>
      <c r="F24" s="99"/>
      <c r="G24" s="99"/>
      <c r="H24" s="98" t="s">
        <v>251</v>
      </c>
      <c r="I24" s="98"/>
      <c r="J24" s="100"/>
      <c r="K24" s="116"/>
      <c r="L24" s="117" t="s">
        <v>170</v>
      </c>
      <c r="M24" s="117"/>
      <c r="N24" s="102">
        <f>IF(OR($AG$1=0,Z24=0,AA24=0),"",VLOOKUP(AO24,VMA[#All],Beispielabrechnung!AP24,FALSE))</f>
        <v>23</v>
      </c>
      <c r="O24" s="118"/>
      <c r="P24" s="118"/>
      <c r="Q24" s="118"/>
      <c r="R24" s="103">
        <f t="shared" si="0"/>
        <v>23</v>
      </c>
      <c r="S24" s="117" t="s">
        <v>170</v>
      </c>
      <c r="T24" s="119">
        <v>40</v>
      </c>
      <c r="U24" s="105">
        <f>IF(OR($AG$1=0,$AG$3&lt;&gt;2,$AG$5&lt;&gt;1),"",IF(S24&lt;&gt;"",VLOOKUP(S24,Pauschalen!$A$1:$D$231,4,FALSE),""))</f>
        <v>124</v>
      </c>
      <c r="V24" s="120" t="s">
        <v>288</v>
      </c>
      <c r="W24" s="121">
        <v>191</v>
      </c>
      <c r="X24" s="122">
        <v>12</v>
      </c>
      <c r="Z24" s="83">
        <f>IF(OR(C24="",D24="",E24=""),0,1)</f>
        <v>1</v>
      </c>
      <c r="AA24" s="83">
        <f>IF(OR(AND(AK24=1,J24&lt;&gt;"",K24&lt;&gt;"",C24&lt;&gt;J24,C24&lt;&gt;K24),AND(E24="Mehrtägigen",L24&lt;&gt;"")),1,IF(AND(E24="eintägigen",M24&lt;&gt;""),1,0))</f>
        <v>1</v>
      </c>
      <c r="AB24" s="83">
        <f>IF(E24="eintägigen",1,0)</f>
        <v>0</v>
      </c>
      <c r="AC24" s="110">
        <f t="shared" si="15"/>
        <v>0</v>
      </c>
      <c r="AD24" s="83">
        <f t="shared" si="16"/>
        <v>0</v>
      </c>
      <c r="AE24" s="83">
        <f>IF(AB24=1,M24,0)</f>
        <v>0</v>
      </c>
      <c r="AF24" s="83">
        <f>IF(AND(E24="mehrtägigen",AH24=0,AK24=0),1,0)</f>
        <v>1</v>
      </c>
      <c r="AG24" s="83" t="str">
        <f>IF(AF24=1,IF(H24&lt;&gt;"endete",L24,IF(M24="",L24,M24)),0)</f>
        <v>Polen (Übriges)</v>
      </c>
      <c r="AH24" s="83">
        <f>IF(I24="Flugzeug",1,0)</f>
        <v>0</v>
      </c>
      <c r="AI24" s="83">
        <f>IF(AH24=1,IF(AND(H24="endete",M24&lt;&gt;""),M24,IF(J24=C24,L24,IF(AND(J24&lt;&gt;C24,K24=C24),L24,IF(AND(C24&lt;&gt;J24,C24&lt;&gt;K24,J24&lt;&gt;"",K24&lt;&gt;""),$AO$3,0)))),0)</f>
        <v>0</v>
      </c>
      <c r="AJ24" s="83">
        <f>IF(AND(AH24=1,C24&lt;&gt;J24,C24=K24,L24=""),1,0)</f>
        <v>0</v>
      </c>
      <c r="AK24" s="83">
        <f>IF(I24="Schiff",1,0)</f>
        <v>0</v>
      </c>
      <c r="AL24" s="83">
        <f>IF(AK24=1,IF(C24=J24,L24,IF(C24=K24,L24,IF(AND(C24&lt;&gt;J24,C24&lt;&gt;K24,J24&lt;&gt;"",K24&lt;&gt;""),$AO$5,0))),0)</f>
        <v>0</v>
      </c>
      <c r="AM24" s="83">
        <f>IF(AND(AK24=1,C24=J24,L24=""),1,0)</f>
        <v>0</v>
      </c>
      <c r="AN24" s="83">
        <f>IF(AND(AK24=1,C24=K24,L24=""),1,0)</f>
        <v>0</v>
      </c>
      <c r="AO24" s="83" t="str">
        <f t="shared" si="22"/>
        <v>Polen (Übriges)</v>
      </c>
      <c r="AP24" s="83">
        <f t="shared" si="19"/>
        <v>3</v>
      </c>
      <c r="AQ24" s="83">
        <f>VLOOKUP(AO24,Pauschalen!$A$1:$D$231,2,FALSE)</f>
        <v>34</v>
      </c>
      <c r="AR24" s="83">
        <f>IF(O24&lt;&gt;"",0.2,0)</f>
        <v>0</v>
      </c>
      <c r="AS24" s="83">
        <f>IF(P24&lt;&gt;"",0.4,0)</f>
        <v>0</v>
      </c>
      <c r="AT24" s="83">
        <f>IF(Q24&lt;&gt;"",0.4,0)</f>
        <v>0</v>
      </c>
      <c r="AU24" s="83">
        <f t="shared" si="20"/>
        <v>0</v>
      </c>
    </row>
    <row r="25" spans="1:47" s="109" customFormat="1" ht="28.5" customHeight="1" thickBot="1" x14ac:dyDescent="0.25">
      <c r="A25" s="233" t="str">
        <f t="shared" si="23"/>
        <v/>
      </c>
      <c r="B25" s="233"/>
      <c r="C25" s="97">
        <v>45380</v>
      </c>
      <c r="D25" s="98" t="s">
        <v>306</v>
      </c>
      <c r="E25" s="98" t="s">
        <v>220</v>
      </c>
      <c r="F25" s="99"/>
      <c r="G25" s="99"/>
      <c r="H25" s="98" t="s">
        <v>258</v>
      </c>
      <c r="I25" s="98"/>
      <c r="J25" s="100"/>
      <c r="K25" s="100"/>
      <c r="L25" s="101" t="s">
        <v>140</v>
      </c>
      <c r="M25" s="117" t="s">
        <v>170</v>
      </c>
      <c r="N25" s="102">
        <f>IF(OR($AG$1=0,Z25=0,AA25=0),"",VLOOKUP(AO25,VMA[#All],Beispielabrechnung!AP25,FALSE))</f>
        <v>23</v>
      </c>
      <c r="O25" s="99" t="s">
        <v>206</v>
      </c>
      <c r="P25" s="99"/>
      <c r="Q25" s="99"/>
      <c r="R25" s="103">
        <f t="shared" si="0"/>
        <v>16.2</v>
      </c>
      <c r="S25" s="101"/>
      <c r="T25" s="104"/>
      <c r="U25" s="105" t="str">
        <f>IF(OR($AG$1=0,$AG$3&lt;&gt;2,$AG$5&lt;&gt;1),"",IF(S25&lt;&gt;"",VLOOKUP(S25,Pauschalen!$A$1:$D$231,4,FALSE),""))</f>
        <v/>
      </c>
      <c r="V25" s="120" t="s">
        <v>288</v>
      </c>
      <c r="W25" s="107">
        <v>193</v>
      </c>
      <c r="X25" s="108">
        <v>8</v>
      </c>
      <c r="Z25" s="83">
        <f>IF(OR(C25="",D25="",E25=""),0,1)</f>
        <v>1</v>
      </c>
      <c r="AA25" s="83">
        <f>IF(OR(AND(AK25=1,J25&lt;&gt;"",K25&lt;&gt;"",C25&lt;&gt;J25,C25&lt;&gt;K25),AND(E25="Mehrtägigen",L25&lt;&gt;"")),1,IF(AND(E25="eintägigen",M25&lt;&gt;""),1,0))</f>
        <v>1</v>
      </c>
      <c r="AB25" s="83">
        <f>IF(E25="eintägigen",1,0)</f>
        <v>0</v>
      </c>
      <c r="AC25" s="110">
        <f t="shared" si="15"/>
        <v>0</v>
      </c>
      <c r="AD25" s="83">
        <f t="shared" si="16"/>
        <v>0</v>
      </c>
      <c r="AE25" s="83">
        <f>IF(AB25=1,M25,0)</f>
        <v>0</v>
      </c>
      <c r="AF25" s="83">
        <f>IF(AND(E25="mehrtägigen",AH25=0,AK25=0),1,0)</f>
        <v>1</v>
      </c>
      <c r="AG25" s="83" t="str">
        <f>IF(AF25=1,IF(H25&lt;&gt;"endete",L25,IF(M25="",L25,M25)),0)</f>
        <v>Polen (Übriges)</v>
      </c>
      <c r="AH25" s="83">
        <f>IF(I25="Flugzeug",1,0)</f>
        <v>0</v>
      </c>
      <c r="AI25" s="83">
        <f>IF(AH25=1,IF(AND(H25="endete",M25&lt;&gt;""),M25,IF(J25=C25,L25,IF(AND(J25&lt;&gt;C25,K25=C25),L25,IF(AND(C25&lt;&gt;J25,C25&lt;&gt;K25,J25&lt;&gt;"",K25&lt;&gt;""),$AO$3,0)))),0)</f>
        <v>0</v>
      </c>
      <c r="AJ25" s="83">
        <f>IF(AND(AH25=1,C25&lt;&gt;J25,C25=K25,L25=""),1,0)</f>
        <v>0</v>
      </c>
      <c r="AK25" s="83">
        <f>IF(I25="Schiff",1,0)</f>
        <v>0</v>
      </c>
      <c r="AL25" s="83">
        <f>IF(AK25=1,IF(C25=J25,L25,IF(C25=K25,L25,IF(AND(C25&lt;&gt;J25,C25&lt;&gt;K25,J25&lt;&gt;"",K25&lt;&gt;""),$AO$5,0))),0)</f>
        <v>0</v>
      </c>
      <c r="AM25" s="83">
        <f>IF(AND(AK25=1,C25=J25,L25=""),1,0)</f>
        <v>0</v>
      </c>
      <c r="AN25" s="83">
        <f>IF(AND(AK25=1,C25=K25,L25=""),1,0)</f>
        <v>0</v>
      </c>
      <c r="AO25" s="83" t="str">
        <f t="shared" si="22"/>
        <v>Polen (Übriges)</v>
      </c>
      <c r="AP25" s="83">
        <f t="shared" si="19"/>
        <v>3</v>
      </c>
      <c r="AQ25" s="83">
        <f>VLOOKUP(AO25,Pauschalen!$A$1:$D$231,2,FALSE)</f>
        <v>34</v>
      </c>
      <c r="AR25" s="83">
        <f>IF(O25&lt;&gt;"",0.2,0)</f>
        <v>0.2</v>
      </c>
      <c r="AS25" s="83">
        <f>IF(P25&lt;&gt;"",0.4,0)</f>
        <v>0</v>
      </c>
      <c r="AT25" s="83">
        <f>IF(Q25&lt;&gt;"",0.4,0)</f>
        <v>0</v>
      </c>
      <c r="AU25" s="83">
        <f t="shared" si="20"/>
        <v>0.2</v>
      </c>
    </row>
    <row r="26" spans="1:47" s="109" customFormat="1" ht="15" customHeight="1" thickBot="1" x14ac:dyDescent="0.25">
      <c r="A26" s="123"/>
      <c r="B26" s="123"/>
      <c r="C26" s="124" t="s">
        <v>316</v>
      </c>
      <c r="D26" s="125"/>
      <c r="E26" s="125"/>
      <c r="F26" s="125"/>
      <c r="G26" s="125"/>
      <c r="H26" s="125"/>
      <c r="I26" s="125"/>
      <c r="J26" s="125"/>
      <c r="K26" s="125"/>
      <c r="L26" s="126"/>
      <c r="M26" s="126"/>
      <c r="N26" s="127">
        <f>SUM(N11:N25)</f>
        <v>523</v>
      </c>
      <c r="O26" s="128"/>
      <c r="P26" s="128"/>
      <c r="Q26" s="128"/>
      <c r="R26" s="129">
        <f>SUM(R11:R25)</f>
        <v>398.59999999999991</v>
      </c>
      <c r="S26" s="129"/>
      <c r="T26" s="129">
        <f>SUM(T11:T25)</f>
        <v>600</v>
      </c>
      <c r="U26" s="127">
        <f>SUM(U11:U25)</f>
        <v>896</v>
      </c>
      <c r="V26" s="129"/>
      <c r="W26" s="127"/>
      <c r="X26" s="130">
        <f>SUM(X11:X25)</f>
        <v>947.5</v>
      </c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</row>
    <row r="27" spans="1:47" s="131" customFormat="1" ht="5.0999999999999996" customHeight="1" thickBot="1" x14ac:dyDescent="0.25">
      <c r="B27" s="132"/>
      <c r="C27" s="133"/>
      <c r="D27" s="134"/>
      <c r="E27" s="134"/>
      <c r="F27" s="134"/>
      <c r="G27" s="134"/>
      <c r="H27" s="134"/>
      <c r="I27" s="134"/>
      <c r="J27" s="134"/>
      <c r="K27" s="134"/>
      <c r="L27" s="134"/>
      <c r="M27" s="134"/>
      <c r="N27" s="135"/>
      <c r="O27" s="136"/>
      <c r="P27" s="136"/>
      <c r="Q27" s="136"/>
      <c r="R27" s="10"/>
      <c r="S27" s="10"/>
      <c r="T27" s="134"/>
      <c r="U27" s="137"/>
      <c r="V27" s="137"/>
      <c r="W27" s="137"/>
      <c r="X27" s="134"/>
    </row>
    <row r="28" spans="1:47" s="138" customFormat="1" ht="15" customHeight="1" thickBot="1" x14ac:dyDescent="0.25">
      <c r="C28" s="139" t="str">
        <f>IF(AG3=2,"Verpflegungsmehraufwendungen abzgl. Kürzungen","Verpflegungsmehraufwendungen")</f>
        <v>Verpflegungsmehraufwendungen abzgl. Kürzungen</v>
      </c>
      <c r="D28" s="140"/>
      <c r="E28" s="140"/>
      <c r="F28" s="140"/>
      <c r="G28" s="140"/>
      <c r="H28" s="140"/>
      <c r="I28" s="140"/>
      <c r="J28" s="140"/>
      <c r="K28" s="140"/>
      <c r="L28" s="141" t="str">
        <f>IF(OR($AG$3=1,AND($AG$3=2,$AG$5=2)),"Ansatz mit:",IF($AG$5=1,"Erstattung erfolgt lt. betriebl. Vereinbarung:",""))</f>
        <v>Erstattung erfolgt lt. betriebl. Vereinbarung:</v>
      </c>
      <c r="M28" s="310" t="s">
        <v>315</v>
      </c>
      <c r="N28" s="310"/>
      <c r="O28" s="310"/>
      <c r="P28" s="310"/>
      <c r="Q28" s="310"/>
      <c r="R28" s="310"/>
      <c r="S28" s="14"/>
      <c r="T28" s="29"/>
      <c r="U28" s="14"/>
      <c r="V28" s="14"/>
      <c r="W28" s="295">
        <f>IF(AG5=1,IF(AB28=3,T28,IF(AB28=1,R26,0)),IF(AG3=1,N26,R26))</f>
        <v>398.59999999999991</v>
      </c>
      <c r="X28" s="296"/>
      <c r="Y28" s="142"/>
      <c r="Z28" s="143" t="s">
        <v>286</v>
      </c>
      <c r="AA28" s="144"/>
      <c r="AB28" s="144">
        <f>IF(M28="in Höhe der gesetzlichen Pauschalen",1,IF(M28="mit einem individuellen Betrag in Höhe von:",3,""))</f>
        <v>1</v>
      </c>
      <c r="AC28" s="144"/>
      <c r="AD28" s="144"/>
      <c r="AE28" s="144"/>
      <c r="AF28" s="144"/>
      <c r="AG28" s="144"/>
      <c r="AH28" s="144"/>
      <c r="AI28" s="144"/>
      <c r="AJ28" s="144"/>
      <c r="AK28" s="144"/>
      <c r="AL28" s="144"/>
      <c r="AM28" s="144"/>
      <c r="AN28" s="144"/>
      <c r="AO28" s="144"/>
      <c r="AP28" s="144"/>
      <c r="AQ28" s="144"/>
      <c r="AR28" s="144"/>
      <c r="AS28" s="144"/>
      <c r="AT28" s="144"/>
      <c r="AU28" s="144"/>
    </row>
    <row r="29" spans="1:47" s="138" customFormat="1" ht="5.0999999999999996" customHeight="1" thickBot="1" x14ac:dyDescent="0.25">
      <c r="C29" s="145"/>
      <c r="D29" s="146"/>
      <c r="E29" s="146"/>
      <c r="F29" s="146"/>
      <c r="G29" s="146"/>
      <c r="H29" s="146"/>
      <c r="I29" s="146"/>
      <c r="J29" s="146"/>
      <c r="K29" s="146"/>
      <c r="L29" s="147"/>
      <c r="M29" s="147"/>
      <c r="N29" s="148"/>
      <c r="Q29" s="2"/>
      <c r="U29" s="149"/>
      <c r="V29" s="149"/>
      <c r="W29" s="149"/>
      <c r="X29" s="150"/>
    </row>
    <row r="30" spans="1:47" s="138" customFormat="1" ht="15" customHeight="1" thickBot="1" x14ac:dyDescent="0.25">
      <c r="C30" s="151" t="s">
        <v>0</v>
      </c>
      <c r="D30" s="152"/>
      <c r="E30" s="152"/>
      <c r="F30" s="152"/>
      <c r="G30" s="152"/>
      <c r="H30" s="152"/>
      <c r="I30" s="152"/>
      <c r="J30" s="141"/>
      <c r="K30" s="141"/>
      <c r="L30" s="141" t="str">
        <f>IF(OR($AG$3=1,AND($AG$3=2,$AG$5=2)),"Ansatz mit:",IF($AG$5=1,"Erstattung erfolgt lt. betriebl. Vereinbarung:",""))</f>
        <v>Erstattung erfolgt lt. betriebl. Vereinbarung:</v>
      </c>
      <c r="M30" s="307" t="s">
        <v>308</v>
      </c>
      <c r="N30" s="307"/>
      <c r="O30" s="307"/>
      <c r="P30" s="307"/>
      <c r="Q30" s="307"/>
      <c r="R30" s="307"/>
      <c r="S30" s="1"/>
      <c r="T30" s="20">
        <v>812</v>
      </c>
      <c r="U30" s="1"/>
      <c r="V30" s="1"/>
      <c r="W30" s="295">
        <f>IF(OR(AG3=0,AG3=1),0,IF(AG5=2,T26,IF(AB30=1,T26,IF(AB30=2,U26,IF(AB30=3,T30,0)))))</f>
        <v>812</v>
      </c>
      <c r="X30" s="296"/>
      <c r="AB30" s="138">
        <f>IF(M30="in Höhe der tatsächlichen Aufwendungen",1,IF(M30="in Höhe der erstattungsfähigen Pauschalen",2,IF(M30="mit einem individuellen Betrag in Höhe von:",3,"")))</f>
        <v>3</v>
      </c>
    </row>
    <row r="31" spans="1:47" s="138" customFormat="1" ht="5.0999999999999996" customHeight="1" thickBot="1" x14ac:dyDescent="0.25">
      <c r="C31" s="153"/>
      <c r="D31" s="154"/>
      <c r="E31" s="154"/>
      <c r="F31" s="154"/>
      <c r="G31" s="154"/>
      <c r="H31" s="154"/>
      <c r="I31" s="154"/>
      <c r="J31" s="154"/>
      <c r="K31" s="155"/>
      <c r="L31" s="156"/>
      <c r="M31" s="156"/>
      <c r="N31" s="148"/>
      <c r="O31" s="3"/>
      <c r="P31" s="3"/>
      <c r="Q31" s="2"/>
      <c r="R31" s="3"/>
      <c r="S31" s="3"/>
      <c r="T31" s="3"/>
      <c r="U31" s="3"/>
      <c r="V31" s="13"/>
      <c r="W31" s="3"/>
      <c r="X31" s="150"/>
    </row>
    <row r="32" spans="1:47" s="138" customFormat="1" ht="15" customHeight="1" thickBot="1" x14ac:dyDescent="0.25">
      <c r="C32" s="157" t="s">
        <v>294</v>
      </c>
      <c r="D32" s="158"/>
      <c r="E32" s="159" t="s">
        <v>295</v>
      </c>
      <c r="F32" s="159"/>
      <c r="G32" s="159"/>
      <c r="H32" s="160" t="s">
        <v>292</v>
      </c>
      <c r="I32" s="161">
        <f>SUMIFS(W11:W25,V11:V25,"pkw")</f>
        <v>384</v>
      </c>
      <c r="J32" s="162"/>
      <c r="K32" s="163"/>
      <c r="L32" s="160" t="str">
        <f>IF(OR($AG$3=1,AND($AG$3=2,$AG$5=2)),"Ansatz mit:",IF($AG$5=1,"Erstattung erfolgt lt. betriebl. Vereinbarung:",""))</f>
        <v>Erstattung erfolgt lt. betriebl. Vereinbarung:</v>
      </c>
      <c r="M32" s="308" t="s">
        <v>293</v>
      </c>
      <c r="N32" s="308"/>
      <c r="O32" s="308"/>
      <c r="P32" s="308"/>
      <c r="Q32" s="308"/>
      <c r="R32" s="164"/>
      <c r="S32" s="165" t="str">
        <f>IF(OR($AG$3=1,AB32=1,AND($AG$3=2,$AG$5=2)),""&amp;AG32&amp;" € / km","€ / km")</f>
        <v>0,3 € / km</v>
      </c>
      <c r="T32" s="18">
        <f>IF(AND($AG$3=2,$AG$5=1),IF(AND(M32&lt;&gt;"",AB32=1),AG32*I32,IF(AND(M32&lt;&gt;"",AB32=3),R32*I32,0)),AG32*I32)</f>
        <v>115.19999999999999</v>
      </c>
      <c r="U32" s="1"/>
      <c r="V32" s="1"/>
      <c r="W32" s="295">
        <f>IF(AND(AG3=1,AG1=1),X26+SUM(T32:T34),IF(AB35=1,X26,IF(AB35=3,T35,0))+SUM(T32:T34))</f>
        <v>1001.2</v>
      </c>
      <c r="X32" s="296"/>
      <c r="AB32" s="138">
        <f>IF(M32="nach dem gesetzlichen km-satz von:",1,IF(M32="mit einem km-satz von:",3,""))</f>
        <v>1</v>
      </c>
      <c r="AF32" s="166" t="s">
        <v>318</v>
      </c>
      <c r="AG32" s="167">
        <v>0.3</v>
      </c>
    </row>
    <row r="33" spans="3:33" s="138" customFormat="1" ht="15" customHeight="1" x14ac:dyDescent="0.2">
      <c r="C33" s="243" t="s">
        <v>342</v>
      </c>
      <c r="D33" s="244"/>
      <c r="E33" s="168" t="s">
        <v>289</v>
      </c>
      <c r="F33" s="168"/>
      <c r="G33" s="168"/>
      <c r="H33" s="155" t="s">
        <v>292</v>
      </c>
      <c r="I33" s="169">
        <f>SUMIFS(W11:W25,V11:V25,"sonst. kfz")</f>
        <v>305</v>
      </c>
      <c r="J33" s="170"/>
      <c r="L33" s="155" t="str">
        <f t="shared" ref="L33:L35" si="25">IF(OR($AG$3=1,AND($AG$3=2,$AG$5=2)),"Ansatz mit:",IF($AG$5=1,"Erstattung erfolgt lt. betriebl. Vereinbarung:",""))</f>
        <v>Erstattung erfolgt lt. betriebl. Vereinbarung:</v>
      </c>
      <c r="M33" s="309" t="s">
        <v>293</v>
      </c>
      <c r="N33" s="309"/>
      <c r="O33" s="309"/>
      <c r="P33" s="309"/>
      <c r="Q33" s="309"/>
      <c r="R33" s="171"/>
      <c r="S33" s="172" t="str">
        <f>IF(OR($AG$3=1,AB33=1,AND($AG$3=2,$AG$5=2)),""&amp;AG33&amp;" € / km","€ / km")</f>
        <v>0,2 € / km</v>
      </c>
      <c r="T33" s="19">
        <f>IF(AND($AG$3=2,$AG$5=1),IF(AND(M33&lt;&gt;"",AB33=1),AG33*I33,IF(AND(M33&lt;&gt;"",AB33=3),R33*I33,0)),AG33*I33)</f>
        <v>61</v>
      </c>
      <c r="U33" s="15"/>
      <c r="V33" s="15"/>
      <c r="W33" s="16"/>
      <c r="X33" s="17"/>
      <c r="AB33" s="138">
        <f>IF(M33="nach dem gesetzlichen km-satz von:",1,IF(M33="mit einem km-satz von:",3,""))</f>
        <v>1</v>
      </c>
      <c r="AF33" s="166" t="s">
        <v>318</v>
      </c>
      <c r="AG33" s="167">
        <v>0.2</v>
      </c>
    </row>
    <row r="34" spans="3:33" s="138" customFormat="1" ht="12.75" customHeight="1" x14ac:dyDescent="0.2">
      <c r="C34" s="245"/>
      <c r="D34" s="244"/>
      <c r="E34" s="168" t="s">
        <v>290</v>
      </c>
      <c r="F34" s="168"/>
      <c r="G34" s="168"/>
      <c r="H34" s="155" t="s">
        <v>292</v>
      </c>
      <c r="I34" s="169">
        <f>SUMIFS(W11:W25,V11:V25,"fahrrad")</f>
        <v>0</v>
      </c>
      <c r="J34" s="173"/>
      <c r="L34" s="155" t="str">
        <f t="shared" si="25"/>
        <v>Erstattung erfolgt lt. betriebl. Vereinbarung:</v>
      </c>
      <c r="M34" s="138" t="str">
        <f>IF($AG$5=1,"mit:","")</f>
        <v>mit:</v>
      </c>
      <c r="N34" s="171"/>
      <c r="O34" s="171"/>
      <c r="P34" s="174"/>
      <c r="Q34" s="174"/>
      <c r="R34" s="175"/>
      <c r="T34" s="176"/>
      <c r="U34" s="177"/>
      <c r="V34" s="177"/>
      <c r="X34" s="150"/>
    </row>
    <row r="35" spans="3:33" s="138" customFormat="1" ht="12" customHeight="1" x14ac:dyDescent="0.2">
      <c r="C35" s="178" t="s">
        <v>343</v>
      </c>
      <c r="J35" s="173"/>
      <c r="L35" s="155" t="str">
        <f t="shared" si="25"/>
        <v>Erstattung erfolgt lt. betriebl. Vereinbarung:</v>
      </c>
      <c r="M35" s="304" t="s">
        <v>308</v>
      </c>
      <c r="N35" s="304"/>
      <c r="O35" s="304"/>
      <c r="P35" s="304"/>
      <c r="Q35" s="304"/>
      <c r="R35" s="304"/>
      <c r="S35" s="175"/>
      <c r="T35" s="179">
        <v>825</v>
      </c>
      <c r="U35" s="177"/>
      <c r="V35" s="177"/>
      <c r="W35" s="177"/>
      <c r="X35" s="150"/>
      <c r="AB35" s="138">
        <f>IF(M35="in Höhe der tatsächlichen Aufwendungen",1,IF(M35="mit einem individuellen Betrag in Höhe von:",3,""))</f>
        <v>3</v>
      </c>
    </row>
    <row r="36" spans="3:33" s="138" customFormat="1" ht="5.0999999999999996" customHeight="1" thickBot="1" x14ac:dyDescent="0.25">
      <c r="C36" s="142"/>
      <c r="L36" s="180"/>
      <c r="M36" s="180"/>
      <c r="N36" s="175"/>
      <c r="Q36" s="175"/>
      <c r="R36" s="175"/>
      <c r="S36" s="175"/>
      <c r="T36" s="175"/>
      <c r="U36" s="177"/>
      <c r="V36" s="177"/>
      <c r="W36" s="177"/>
      <c r="X36" s="150"/>
    </row>
    <row r="37" spans="3:33" s="138" customFormat="1" ht="17.45" customHeight="1" thickBot="1" x14ac:dyDescent="0.25">
      <c r="C37" s="181" t="s">
        <v>205</v>
      </c>
      <c r="D37" s="182"/>
      <c r="E37" s="182"/>
      <c r="F37" s="182"/>
      <c r="G37" s="182"/>
      <c r="H37" s="182"/>
      <c r="I37" s="182" t="str">
        <f>IF((($S$3)="")," ",$S$3)</f>
        <v>1. Quartal</v>
      </c>
      <c r="J37" s="182"/>
      <c r="K37" s="182"/>
      <c r="L37" s="182"/>
      <c r="M37" s="182"/>
      <c r="N37" s="183"/>
      <c r="O37" s="183"/>
      <c r="P37" s="183"/>
      <c r="Q37" s="183"/>
      <c r="R37" s="183"/>
      <c r="S37" s="183"/>
      <c r="T37" s="183"/>
      <c r="U37" s="183"/>
      <c r="V37" s="183"/>
      <c r="W37" s="241">
        <f>W28+W30+W32</f>
        <v>2211.8000000000002</v>
      </c>
      <c r="X37" s="242"/>
    </row>
    <row r="38" spans="3:33" s="184" customFormat="1" ht="12" x14ac:dyDescent="0.2">
      <c r="N38" s="185"/>
      <c r="O38" s="186"/>
      <c r="P38" s="186"/>
      <c r="Q38" s="186"/>
      <c r="R38" s="186"/>
      <c r="S38" s="186"/>
      <c r="U38" s="187"/>
      <c r="V38" s="187"/>
      <c r="W38" s="187"/>
      <c r="X38" s="194" t="s">
        <v>668</v>
      </c>
    </row>
    <row r="39" spans="3:33" s="184" customFormat="1" ht="12" x14ac:dyDescent="0.2">
      <c r="N39" s="185"/>
      <c r="O39" s="186"/>
      <c r="P39" s="186"/>
      <c r="Q39" s="186"/>
      <c r="R39" s="186"/>
      <c r="S39" s="186"/>
      <c r="U39" s="187"/>
      <c r="V39" s="187"/>
      <c r="W39" s="187"/>
    </row>
    <row r="40" spans="3:33" s="184" customFormat="1" ht="12" x14ac:dyDescent="0.2">
      <c r="N40" s="185"/>
      <c r="O40" s="186"/>
      <c r="P40" s="186"/>
      <c r="Q40" s="186"/>
      <c r="R40" s="186"/>
      <c r="S40" s="186"/>
      <c r="U40" s="187"/>
      <c r="V40" s="187"/>
      <c r="W40" s="187"/>
    </row>
    <row r="41" spans="3:33" s="184" customFormat="1" ht="18" x14ac:dyDescent="0.25">
      <c r="C41" s="192" t="s">
        <v>340</v>
      </c>
      <c r="N41" s="185"/>
      <c r="O41" s="186"/>
      <c r="P41" s="186"/>
      <c r="Q41" s="186"/>
      <c r="R41" s="186"/>
      <c r="S41" s="186"/>
      <c r="U41" s="187"/>
      <c r="V41" s="187"/>
      <c r="W41" s="187"/>
    </row>
    <row r="42" spans="3:33" s="184" customFormat="1" ht="12" x14ac:dyDescent="0.2">
      <c r="N42" s="185"/>
      <c r="O42" s="186"/>
      <c r="P42" s="186"/>
      <c r="Q42" s="186"/>
      <c r="R42" s="186"/>
      <c r="S42" s="186"/>
      <c r="U42" s="187"/>
      <c r="V42" s="187"/>
      <c r="W42" s="187"/>
    </row>
    <row r="43" spans="3:33" s="184" customFormat="1" ht="18" x14ac:dyDescent="0.25">
      <c r="C43" s="193" t="s">
        <v>345</v>
      </c>
      <c r="D43" s="192" t="s">
        <v>346</v>
      </c>
      <c r="N43" s="185"/>
      <c r="O43" s="186"/>
      <c r="P43" s="186"/>
      <c r="Q43" s="186"/>
      <c r="R43" s="186"/>
      <c r="S43" s="186"/>
      <c r="U43" s="187"/>
      <c r="V43" s="187"/>
      <c r="W43" s="187"/>
    </row>
    <row r="44" spans="3:33" s="184" customFormat="1" ht="12" x14ac:dyDescent="0.2">
      <c r="N44" s="185"/>
      <c r="O44" s="186"/>
      <c r="P44" s="186"/>
      <c r="Q44" s="186"/>
      <c r="R44" s="186"/>
      <c r="S44" s="186"/>
      <c r="U44" s="187"/>
      <c r="V44" s="187"/>
      <c r="W44" s="187"/>
    </row>
    <row r="45" spans="3:33" s="184" customFormat="1" ht="12" x14ac:dyDescent="0.2">
      <c r="N45" s="185"/>
      <c r="O45" s="186"/>
      <c r="P45" s="186"/>
      <c r="Q45" s="186"/>
      <c r="R45" s="186"/>
      <c r="S45" s="186"/>
      <c r="U45" s="187"/>
      <c r="V45" s="187"/>
      <c r="W45" s="187"/>
    </row>
    <row r="46" spans="3:33" s="184" customFormat="1" ht="12" x14ac:dyDescent="0.2">
      <c r="N46" s="185"/>
      <c r="O46" s="186"/>
      <c r="P46" s="186"/>
      <c r="Q46" s="186"/>
      <c r="R46" s="186"/>
      <c r="S46" s="186"/>
      <c r="U46" s="187"/>
      <c r="V46" s="187"/>
      <c r="W46" s="187"/>
    </row>
    <row r="47" spans="3:33" s="184" customFormat="1" ht="12" x14ac:dyDescent="0.2">
      <c r="N47" s="185"/>
      <c r="O47" s="186"/>
      <c r="P47" s="186"/>
      <c r="Q47" s="186"/>
      <c r="R47" s="186"/>
      <c r="S47" s="186"/>
      <c r="U47" s="187"/>
      <c r="V47" s="187"/>
      <c r="W47" s="187"/>
    </row>
    <row r="48" spans="3:33" s="184" customFormat="1" ht="12" x14ac:dyDescent="0.2">
      <c r="N48" s="185"/>
      <c r="O48" s="186"/>
      <c r="P48" s="186"/>
      <c r="Q48" s="186"/>
      <c r="R48" s="186"/>
      <c r="S48" s="186"/>
      <c r="U48" s="187"/>
      <c r="V48" s="187"/>
      <c r="W48" s="187"/>
    </row>
    <row r="49" spans="3:23" s="184" customFormat="1" ht="12" x14ac:dyDescent="0.2">
      <c r="N49" s="185"/>
      <c r="O49" s="186"/>
      <c r="P49" s="186"/>
      <c r="Q49" s="186"/>
      <c r="R49" s="186"/>
      <c r="S49" s="186"/>
      <c r="U49" s="187"/>
      <c r="V49" s="187"/>
      <c r="W49" s="187"/>
    </row>
    <row r="50" spans="3:23" s="184" customFormat="1" ht="12" x14ac:dyDescent="0.2">
      <c r="N50" s="185"/>
      <c r="O50" s="186"/>
      <c r="P50" s="186"/>
      <c r="Q50" s="186"/>
      <c r="R50" s="186"/>
      <c r="S50" s="186"/>
      <c r="U50" s="187"/>
      <c r="V50" s="187"/>
      <c r="W50" s="187"/>
    </row>
    <row r="51" spans="3:23" s="184" customFormat="1" ht="12" x14ac:dyDescent="0.2">
      <c r="N51" s="185"/>
      <c r="O51" s="186"/>
      <c r="P51" s="186"/>
      <c r="Q51" s="186"/>
      <c r="R51" s="186"/>
      <c r="S51" s="186"/>
      <c r="U51" s="187"/>
      <c r="V51" s="187"/>
      <c r="W51" s="187"/>
    </row>
    <row r="52" spans="3:23" s="185" customFormat="1" ht="12" x14ac:dyDescent="0.2">
      <c r="C52" s="184"/>
      <c r="D52" s="184"/>
      <c r="E52" s="184"/>
      <c r="F52" s="184"/>
      <c r="G52" s="184"/>
      <c r="H52" s="184"/>
      <c r="I52" s="184"/>
      <c r="J52" s="184"/>
      <c r="K52" s="184"/>
      <c r="L52" s="184"/>
      <c r="M52" s="184"/>
      <c r="O52" s="186"/>
      <c r="P52" s="186"/>
      <c r="Q52" s="186"/>
      <c r="R52" s="186"/>
      <c r="S52" s="186"/>
      <c r="T52" s="184"/>
      <c r="U52" s="187"/>
      <c r="V52" s="187"/>
      <c r="W52" s="187"/>
    </row>
    <row r="53" spans="3:23" s="185" customFormat="1" ht="12" x14ac:dyDescent="0.2">
      <c r="C53" s="184"/>
      <c r="D53" s="184"/>
      <c r="E53" s="184"/>
      <c r="F53" s="184"/>
      <c r="G53" s="184"/>
      <c r="H53" s="184"/>
      <c r="I53" s="184"/>
      <c r="J53" s="184"/>
      <c r="K53" s="184"/>
      <c r="L53" s="184"/>
      <c r="M53" s="184"/>
      <c r="O53" s="186"/>
      <c r="P53" s="186"/>
      <c r="Q53" s="186"/>
      <c r="R53" s="186"/>
      <c r="S53" s="186"/>
      <c r="T53" s="184"/>
      <c r="U53" s="187"/>
      <c r="V53" s="187"/>
      <c r="W53" s="187"/>
    </row>
    <row r="54" spans="3:23" s="184" customFormat="1" ht="12" x14ac:dyDescent="0.2">
      <c r="N54" s="185"/>
      <c r="O54" s="186"/>
      <c r="P54" s="186"/>
      <c r="Q54" s="186"/>
      <c r="R54" s="186"/>
      <c r="S54" s="186"/>
      <c r="U54" s="187"/>
      <c r="V54" s="187"/>
      <c r="W54" s="187"/>
    </row>
    <row r="55" spans="3:23" s="184" customFormat="1" ht="12" x14ac:dyDescent="0.2">
      <c r="N55" s="185"/>
      <c r="O55" s="186"/>
      <c r="P55" s="186"/>
      <c r="Q55" s="186"/>
      <c r="R55" s="186"/>
      <c r="S55" s="186"/>
      <c r="U55" s="187"/>
      <c r="V55" s="187"/>
      <c r="W55" s="187"/>
    </row>
    <row r="56" spans="3:23" s="185" customFormat="1" ht="12" x14ac:dyDescent="0.2">
      <c r="C56" s="184"/>
      <c r="D56" s="184"/>
      <c r="E56" s="184"/>
      <c r="F56" s="184"/>
      <c r="G56" s="184"/>
      <c r="H56" s="184"/>
      <c r="I56" s="184"/>
      <c r="J56" s="184"/>
      <c r="K56" s="184"/>
      <c r="L56" s="184"/>
      <c r="M56" s="184"/>
      <c r="O56" s="186"/>
      <c r="P56" s="186"/>
      <c r="Q56" s="186"/>
      <c r="R56" s="186"/>
      <c r="S56" s="186"/>
      <c r="T56" s="184"/>
      <c r="U56" s="187"/>
      <c r="V56" s="187"/>
      <c r="W56" s="187"/>
    </row>
    <row r="57" spans="3:23" s="188" customFormat="1" x14ac:dyDescent="0.2">
      <c r="C57"/>
      <c r="D57"/>
      <c r="E57"/>
      <c r="F57"/>
      <c r="G57"/>
      <c r="H57"/>
      <c r="I57"/>
      <c r="J57"/>
      <c r="K57"/>
      <c r="L57"/>
      <c r="M57"/>
      <c r="O57" s="189"/>
      <c r="P57" s="189"/>
      <c r="Q57" s="189"/>
      <c r="R57" s="189"/>
      <c r="S57" s="189"/>
      <c r="T57"/>
      <c r="U57" s="45"/>
      <c r="V57" s="45"/>
      <c r="W57" s="45"/>
    </row>
  </sheetData>
  <sheetProtection algorithmName="SHA-512" hashValue="+UEZbH+HPSeErlVW8o0mVZLqpsT7zuBCqAJCL2cDqFq/fm+dKr1mkF8PhlJQNPMeTZoj417DrujziGhQPK6COQ==" saltValue="qtETJUz/pqwCh1hmtEc6qg==" spinCount="100000" sheet="1" selectLockedCells="1"/>
  <mergeCells count="52">
    <mergeCell ref="M35:R35"/>
    <mergeCell ref="W37:X37"/>
    <mergeCell ref="A12:B13"/>
    <mergeCell ref="M30:R30"/>
    <mergeCell ref="W30:X30"/>
    <mergeCell ref="M32:Q32"/>
    <mergeCell ref="W32:X32"/>
    <mergeCell ref="C33:D34"/>
    <mergeCell ref="M33:Q33"/>
    <mergeCell ref="A22:B22"/>
    <mergeCell ref="A23:B23"/>
    <mergeCell ref="A24:B24"/>
    <mergeCell ref="A25:B25"/>
    <mergeCell ref="M28:R28"/>
    <mergeCell ref="W28:X28"/>
    <mergeCell ref="A16:B16"/>
    <mergeCell ref="A17:B17"/>
    <mergeCell ref="A18:B18"/>
    <mergeCell ref="A19:B19"/>
    <mergeCell ref="A20:B20"/>
    <mergeCell ref="A21:B21"/>
    <mergeCell ref="A10:B10"/>
    <mergeCell ref="A11:B11"/>
    <mergeCell ref="A14:B14"/>
    <mergeCell ref="A15:B15"/>
    <mergeCell ref="AF9:AG9"/>
    <mergeCell ref="A9:B9"/>
    <mergeCell ref="F9:G9"/>
    <mergeCell ref="O9:Q9"/>
    <mergeCell ref="V9:W9"/>
    <mergeCell ref="Z9:AA9"/>
    <mergeCell ref="AB9:AE9"/>
    <mergeCell ref="AH9:AJ9"/>
    <mergeCell ref="AK9:AN9"/>
    <mergeCell ref="AO9:AP9"/>
    <mergeCell ref="AQ9:AU9"/>
    <mergeCell ref="AV9:AW9"/>
    <mergeCell ref="C7:N7"/>
    <mergeCell ref="O7:R8"/>
    <mergeCell ref="S7:U8"/>
    <mergeCell ref="V7:X8"/>
    <mergeCell ref="C8:E8"/>
    <mergeCell ref="F8:H8"/>
    <mergeCell ref="I8:K8"/>
    <mergeCell ref="L8:M8"/>
    <mergeCell ref="A1:B1"/>
    <mergeCell ref="E3:J3"/>
    <mergeCell ref="M3:R3"/>
    <mergeCell ref="S3:W3"/>
    <mergeCell ref="E5:J5"/>
    <mergeCell ref="M5:R5"/>
    <mergeCell ref="S5:W5"/>
  </mergeCells>
  <conditionalFormatting sqref="A11:B11 A20:B25">
    <cfRule type="expression" dxfId="32" priority="2">
      <formula>A11:B11&lt;&gt;""</formula>
    </cfRule>
  </conditionalFormatting>
  <conditionalFormatting sqref="C11:X25">
    <cfRule type="expression" dxfId="31" priority="3">
      <formula>OR(AND($E11="mehrtägigen",$H11="begann"),AND($E11="mehrtägigen",$H11=""))</formula>
    </cfRule>
  </conditionalFormatting>
  <conditionalFormatting sqref="F11:G25">
    <cfRule type="expression" dxfId="30" priority="1">
      <formula>$E11="mehrtägigen"</formula>
    </cfRule>
  </conditionalFormatting>
  <conditionalFormatting sqref="H11:L25">
    <cfRule type="expression" dxfId="29" priority="6">
      <formula>$AB11=1</formula>
    </cfRule>
  </conditionalFormatting>
  <conditionalFormatting sqref="H26:M26">
    <cfRule type="expression" dxfId="28" priority="18">
      <formula>$AB26=1</formula>
    </cfRule>
  </conditionalFormatting>
  <conditionalFormatting sqref="J30:L30 K31 L32:L35">
    <cfRule type="expression" dxfId="27" priority="17">
      <formula>$AG$5=1</formula>
    </cfRule>
  </conditionalFormatting>
  <conditionalFormatting sqref="K11:K25">
    <cfRule type="expression" dxfId="26" priority="7">
      <formula>AND(AH11=1,J11=C11)</formula>
    </cfRule>
    <cfRule type="expression" dxfId="25" priority="8">
      <formula>AND(AH11=1,J11&lt;&gt;C11,J11&lt;&gt;"",K11="")</formula>
    </cfRule>
    <cfRule type="expression" dxfId="24" priority="9">
      <formula>AND(AK11=1,C11&lt;&gt;J11,J11&lt;&gt;"",K11="")</formula>
    </cfRule>
    <cfRule type="expression" dxfId="23" priority="10">
      <formula>AM11=1</formula>
    </cfRule>
  </conditionalFormatting>
  <conditionalFormatting sqref="K26">
    <cfRule type="expression" dxfId="22" priority="23">
      <formula>AND(AH26=1,J26&lt;&gt;C26,J26&lt;&gt;"",K26="")</formula>
    </cfRule>
    <cfRule type="expression" dxfId="21" priority="24">
      <formula>AND(AK26=1,C26&lt;&gt;J26,J26&lt;&gt;"",K26="")</formula>
    </cfRule>
    <cfRule type="expression" dxfId="20" priority="25">
      <formula>AM26=1</formula>
    </cfRule>
  </conditionalFormatting>
  <conditionalFormatting sqref="L11:L25">
    <cfRule type="expression" dxfId="19" priority="11">
      <formula>AND(AK11=1,J11&lt;&gt;"",K11&lt;&gt;"",C11&lt;&gt;J11,C11&lt;&gt;K11)</formula>
    </cfRule>
    <cfRule type="expression" dxfId="18" priority="12">
      <formula>AND(L11="",OR(AJ11=1,AM11=1,AN11=1))</formula>
    </cfRule>
  </conditionalFormatting>
  <conditionalFormatting sqref="L28">
    <cfRule type="expression" dxfId="17" priority="14">
      <formula>$AG$5=1</formula>
    </cfRule>
  </conditionalFormatting>
  <conditionalFormatting sqref="L26:M26">
    <cfRule type="expression" dxfId="16" priority="26">
      <formula>AND(AK26=1,J26&lt;&gt;"",K26&lt;&gt;"",C26&lt;&gt;J26,C26&lt;&gt;K26)</formula>
    </cfRule>
    <cfRule type="expression" dxfId="15" priority="27">
      <formula>AND(L26="",OR(AJ26=1,AM26=1,AN26=1))</formula>
    </cfRule>
  </conditionalFormatting>
  <conditionalFormatting sqref="M11:M26">
    <cfRule type="expression" dxfId="14" priority="5">
      <formula>AND(E11="mehrtägigen",H11&lt;&gt;"endete")</formula>
    </cfRule>
  </conditionalFormatting>
  <conditionalFormatting sqref="M28:R28 M30:R30 M32:Q33 M35">
    <cfRule type="expression" dxfId="13" priority="19">
      <formula>AND($AG$3=2,$AG$5=1)</formula>
    </cfRule>
  </conditionalFormatting>
  <conditionalFormatting sqref="N11:N26">
    <cfRule type="cellIs" dxfId="12" priority="21" operator="greaterThan">
      <formula>0</formula>
    </cfRule>
  </conditionalFormatting>
  <conditionalFormatting sqref="O11:Q25 S11:T25">
    <cfRule type="expression" dxfId="11" priority="4">
      <formula>$AG$3&lt;&gt;2</formula>
    </cfRule>
  </conditionalFormatting>
  <conditionalFormatting sqref="R11:R25">
    <cfRule type="cellIs" dxfId="10" priority="22" stopIfTrue="1" operator="lessThanOrEqual">
      <formula>0</formula>
    </cfRule>
  </conditionalFormatting>
  <conditionalFormatting sqref="R32:R33">
    <cfRule type="expression" dxfId="9" priority="16">
      <formula>AND($AG$5=1,AB32=3)</formula>
    </cfRule>
  </conditionalFormatting>
  <conditionalFormatting sqref="S5:W5">
    <cfRule type="expression" dxfId="8" priority="13">
      <formula>$AG$3=1</formula>
    </cfRule>
  </conditionalFormatting>
  <conditionalFormatting sqref="T28 T30 T35">
    <cfRule type="expression" dxfId="7" priority="15">
      <formula>AND($AG$5=1,$AB28=3)</formula>
    </cfRule>
  </conditionalFormatting>
  <dataValidations count="13">
    <dataValidation type="list" allowBlank="1" showInputMessage="1" showErrorMessage="1" sqref="M35" xr:uid="{E74136FB-BB1D-40EE-A981-9FD1679F3D44}">
      <formula1>"in Höhe der tatsächlichen Aufwendungen,mit einem individuellen Betrag in Höhe von:"</formula1>
    </dataValidation>
    <dataValidation type="list" allowBlank="1" showInputMessage="1" showErrorMessage="1" sqref="M28:R28" xr:uid="{EF3A6CB5-896B-4149-AE38-CF220DE3A1AD}">
      <formula1>"in Höhe der gesetzlichen Pauschalen,mit einem individuellen Betrag in Höhe von:"</formula1>
    </dataValidation>
    <dataValidation type="list" allowBlank="1" showInputMessage="1" showErrorMessage="1" sqref="E5:G5" xr:uid="{7400F21F-8866-41DC-B14F-B1ACD9C4083E}">
      <formula1>"Unternehmer,Arbeitnehmer"</formula1>
    </dataValidation>
    <dataValidation type="list" allowBlank="1" showInputMessage="1" showErrorMessage="1" sqref="M32:M33" xr:uid="{4700639C-2DA0-4C0C-B85D-0F761055C28F}">
      <formula1>"nach dem gesetzlichen km-Satz von:,mit einem km-Satz von:"</formula1>
    </dataValidation>
    <dataValidation type="list" allowBlank="1" showInputMessage="1" showErrorMessage="1" sqref="S5:W5" xr:uid="{F2F36320-644F-4A90-BB37-A2ABA037E895}">
      <formula1>"Meinen Arbeitgeber,Meine Einkommensteuererklärung"</formula1>
    </dataValidation>
    <dataValidation type="list" allowBlank="1" showInputMessage="1" showErrorMessage="1" sqref="M30" xr:uid="{C2DFA483-BD93-4F17-BA61-702C1FFB849C}">
      <formula1>"in Höhe der tatsächlichen Aufwendungen,in Höhe der erstattungsfähigen Pauschalen,mit einem individuellen Betrag in Höhe von:"</formula1>
    </dataValidation>
    <dataValidation type="list" allowBlank="1" showInputMessage="1" showErrorMessage="1" sqref="H11:H26" xr:uid="{9CB63863-B7F8-46D4-80C4-45A4F00C3420}">
      <formula1>"begann,endete"</formula1>
    </dataValidation>
    <dataValidation type="list" allowBlank="1" showInputMessage="1" showErrorMessage="1" sqref="V11:V26" xr:uid="{8542661A-6F45-4472-98E5-4AC9894EB353}">
      <formula1>"PKW,sonst. Kfz,Fahrrad"</formula1>
    </dataValidation>
    <dataValidation type="list" allowBlank="1" showInputMessage="1" showErrorMessage="1" sqref="I11:I26" xr:uid="{703652F3-BD2D-4E9C-8100-E94BA0F27760}">
      <formula1>"Abreise,Rückkehr"</formula1>
    </dataValidation>
    <dataValidation type="list" allowBlank="1" showInputMessage="1" showErrorMessage="1" sqref="O11:Q26" xr:uid="{C0D0E593-633A-4BC3-B30A-B7298F06AB1A}">
      <formula1>"Ja"</formula1>
    </dataValidation>
    <dataValidation type="list" allowBlank="1" showInputMessage="1" showErrorMessage="1" sqref="I11:I26" xr:uid="{DDD632A4-59FF-49AA-9B48-184503604770}">
      <formula1>"Flugzeug,Schiff"</formula1>
    </dataValidation>
    <dataValidation type="list" allowBlank="1" showInputMessage="1" showErrorMessage="1" sqref="E11:E26 F26:G26" xr:uid="{B34F8D25-0F46-4C0F-A36C-2050C8A3D9B8}">
      <formula1>"eintägigen,mehrtägigen"</formula1>
    </dataValidation>
    <dataValidation type="list" allowBlank="1" showInputMessage="1" showErrorMessage="1" sqref="N6" xr:uid="{1A8A461C-6D45-4A1F-8D27-889393D56500}">
      <formula1>Liste_DMII</formula1>
    </dataValidation>
  </dataValidations>
  <hyperlinks>
    <hyperlink ref="A10" location="Bearbeitungshinweise!A1" display="Bearbeitungshinweise" xr:uid="{25D99E6C-00C6-437C-9599-14B621EE9333}"/>
    <hyperlink ref="A10:B10" location="Reisekostenabrechnung!A1" display="Reisekostenabrechnung!A1" xr:uid="{ADDD52DA-7333-451E-924F-062F2D0445CF}"/>
  </hyperlinks>
  <pageMargins left="0.78740157480314965" right="0.47244094488188981" top="0.74803149606299213" bottom="0.23622047244094491" header="0.31496062992125984" footer="0.15748031496062992"/>
  <pageSetup paperSize="9" scale="65" fitToHeight="0" orientation="landscape" blackAndWhite="1" r:id="rId1"/>
  <headerFooter alignWithMargins="0">
    <oddHeader>&amp;R&amp;G</oddHeader>
  </headerFooter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65F8278-6DDE-4D2C-9A0E-4ED31248056B}">
          <x14:formula1>
            <xm:f>Pauschalen!$A$3:$A$228</xm:f>
          </x14:formula1>
          <xm:sqref>L11:M26 S11:S26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249"/>
  <sheetViews>
    <sheetView workbookViewId="0">
      <pane ySplit="2" topLeftCell="A3" activePane="bottomLeft" state="frozen"/>
      <selection activeCell="C38" sqref="C38:C39"/>
      <selection pane="bottomLeft" activeCell="D84" sqref="D84"/>
    </sheetView>
  </sheetViews>
  <sheetFormatPr baseColWidth="10" defaultRowHeight="15" x14ac:dyDescent="0.25"/>
  <cols>
    <col min="1" max="1" width="25.7109375" style="231" customWidth="1"/>
    <col min="2" max="4" width="12.7109375" style="201" customWidth="1"/>
    <col min="5" max="5" width="12.7109375" style="24" customWidth="1"/>
    <col min="6" max="9" width="6.7109375" style="24" customWidth="1"/>
    <col min="10" max="10" width="17.28515625" style="221" customWidth="1"/>
    <col min="11" max="11" width="8.7109375" style="24" customWidth="1"/>
    <col min="12" max="12" width="25.7109375" style="24" customWidth="1"/>
    <col min="13" max="15" width="11.42578125" style="24"/>
    <col min="16" max="16" width="8.7109375" style="24" customWidth="1"/>
    <col min="17" max="16384" width="11.42578125" style="24"/>
  </cols>
  <sheetData>
    <row r="1" spans="1:20" ht="45" customHeight="1" x14ac:dyDescent="0.25">
      <c r="A1" s="23">
        <v>1</v>
      </c>
      <c r="B1" s="197">
        <v>2</v>
      </c>
      <c r="C1" s="197">
        <v>3</v>
      </c>
      <c r="D1" s="198">
        <v>4</v>
      </c>
      <c r="E1" s="23">
        <v>5</v>
      </c>
      <c r="F1" s="313" t="s">
        <v>614</v>
      </c>
      <c r="G1" s="313"/>
      <c r="H1" s="313"/>
      <c r="I1" s="313"/>
      <c r="J1" s="313"/>
      <c r="L1" s="311" t="s">
        <v>350</v>
      </c>
      <c r="M1" s="311"/>
      <c r="N1" s="311"/>
      <c r="O1" s="311"/>
    </row>
    <row r="2" spans="1:20" ht="35.25" customHeight="1" x14ac:dyDescent="0.25">
      <c r="A2" s="222" t="s">
        <v>201</v>
      </c>
      <c r="B2" s="199" t="s">
        <v>256</v>
      </c>
      <c r="C2" s="199" t="s">
        <v>257</v>
      </c>
      <c r="D2" s="199" t="s">
        <v>615</v>
      </c>
      <c r="E2" s="25" t="s">
        <v>335</v>
      </c>
      <c r="F2" s="218" t="s">
        <v>576</v>
      </c>
      <c r="G2" s="218" t="s">
        <v>613</v>
      </c>
      <c r="H2" s="218" t="s">
        <v>611</v>
      </c>
      <c r="I2" s="218" t="s">
        <v>612</v>
      </c>
      <c r="J2" s="219" t="s">
        <v>577</v>
      </c>
      <c r="L2" s="312" t="s">
        <v>351</v>
      </c>
      <c r="M2" s="312"/>
      <c r="N2" s="312"/>
      <c r="O2" s="312"/>
      <c r="Q2" s="215" t="s">
        <v>602</v>
      </c>
    </row>
    <row r="3" spans="1:20" ht="15.75" customHeight="1" x14ac:dyDescent="0.25">
      <c r="A3" s="223" t="s">
        <v>4</v>
      </c>
      <c r="B3" s="195">
        <v>30</v>
      </c>
      <c r="C3" s="195">
        <v>20</v>
      </c>
      <c r="D3" s="195">
        <v>95</v>
      </c>
      <c r="E3" s="26"/>
      <c r="F3" s="201">
        <f t="shared" ref="F3:F24" si="0">_xlfn.IFNA(IF(VLOOKUP(IF(J3="",A3,J3),$L$3:$O$330,1,FALSE)=A3,1,0),0)</f>
        <v>1</v>
      </c>
      <c r="G3" s="201">
        <f t="shared" ref="G3:G24" si="1">_xlfn.IFNA(IF(VLOOKUP(IF(J3="",A3,J3),$L$3:$O$330,2,FALSE)=B3,1,0),0)</f>
        <v>1</v>
      </c>
      <c r="H3" s="201">
        <f t="shared" ref="H3:H24" si="2">_xlfn.IFNA(IF(VLOOKUP(IF(J3="",A3,J3),$L$3:$O$330,3,FALSE)=C3,1,0),0)</f>
        <v>1</v>
      </c>
      <c r="I3" s="201">
        <f t="shared" ref="I3:I24" si="3">_xlfn.IFNA(IF(VLOOKUP(IF(J3="",A3,J3),$L$3:$O$330,4,FALSE)=D3,1,0),0)</f>
        <v>1</v>
      </c>
      <c r="J3" s="220"/>
      <c r="L3" s="203" t="s">
        <v>352</v>
      </c>
      <c r="M3" s="204">
        <v>30</v>
      </c>
      <c r="N3" s="204">
        <v>20</v>
      </c>
      <c r="O3" s="205">
        <v>95</v>
      </c>
      <c r="Q3" s="216" t="s">
        <v>603</v>
      </c>
      <c r="R3" s="202" t="s">
        <v>657</v>
      </c>
    </row>
    <row r="4" spans="1:20" ht="15.75" customHeight="1" x14ac:dyDescent="0.25">
      <c r="A4" s="223" t="s">
        <v>5</v>
      </c>
      <c r="B4" s="195">
        <v>50</v>
      </c>
      <c r="C4" s="195">
        <v>33</v>
      </c>
      <c r="D4" s="195">
        <v>112</v>
      </c>
      <c r="E4" s="26"/>
      <c r="F4" s="201">
        <f t="shared" si="0"/>
        <v>1</v>
      </c>
      <c r="G4" s="201">
        <f t="shared" si="1"/>
        <v>1</v>
      </c>
      <c r="H4" s="201">
        <f t="shared" si="2"/>
        <v>1</v>
      </c>
      <c r="I4" s="201">
        <f t="shared" si="3"/>
        <v>1</v>
      </c>
      <c r="J4" s="220"/>
      <c r="L4" s="203" t="s">
        <v>353</v>
      </c>
      <c r="M4" s="204">
        <v>50</v>
      </c>
      <c r="N4" s="204">
        <v>33</v>
      </c>
      <c r="O4" s="206">
        <v>112</v>
      </c>
      <c r="R4" s="202" t="s">
        <v>624</v>
      </c>
    </row>
    <row r="5" spans="1:20" ht="15.75" customHeight="1" x14ac:dyDescent="0.25">
      <c r="A5" s="223" t="s">
        <v>6</v>
      </c>
      <c r="B5" s="195">
        <v>44</v>
      </c>
      <c r="C5" s="195">
        <v>29</v>
      </c>
      <c r="D5" s="195">
        <v>159</v>
      </c>
      <c r="E5" s="26"/>
      <c r="F5" s="201">
        <f t="shared" si="0"/>
        <v>1</v>
      </c>
      <c r="G5" s="201">
        <f t="shared" si="1"/>
        <v>1</v>
      </c>
      <c r="H5" s="201">
        <f t="shared" si="2"/>
        <v>1</v>
      </c>
      <c r="I5" s="201">
        <f t="shared" si="3"/>
        <v>1</v>
      </c>
      <c r="J5" s="220"/>
      <c r="L5" s="203" t="s">
        <v>354</v>
      </c>
      <c r="M5" s="207">
        <v>44</v>
      </c>
      <c r="N5" s="207">
        <v>29</v>
      </c>
      <c r="O5" s="208">
        <v>159</v>
      </c>
      <c r="Q5" s="217"/>
      <c r="R5" s="202" t="s">
        <v>658</v>
      </c>
    </row>
    <row r="6" spans="1:20" ht="15.75" customHeight="1" x14ac:dyDescent="0.25">
      <c r="A6" s="224" t="s">
        <v>7</v>
      </c>
      <c r="B6" s="195">
        <v>42</v>
      </c>
      <c r="C6" s="195">
        <v>28</v>
      </c>
      <c r="D6" s="195">
        <v>166</v>
      </c>
      <c r="E6" s="26"/>
      <c r="F6" s="201">
        <f t="shared" si="0"/>
        <v>1</v>
      </c>
      <c r="G6" s="201">
        <f t="shared" si="1"/>
        <v>1</v>
      </c>
      <c r="H6" s="201">
        <f t="shared" si="2"/>
        <v>1</v>
      </c>
      <c r="I6" s="201">
        <f t="shared" si="3"/>
        <v>1</v>
      </c>
      <c r="J6" s="220"/>
      <c r="L6" s="203" t="s">
        <v>355</v>
      </c>
      <c r="M6" s="204">
        <v>42</v>
      </c>
      <c r="N6" s="204">
        <v>28</v>
      </c>
      <c r="O6" s="206">
        <v>166</v>
      </c>
      <c r="R6" s="202" t="s">
        <v>623</v>
      </c>
    </row>
    <row r="7" spans="1:20" ht="15.75" customHeight="1" x14ac:dyDescent="0.25">
      <c r="A7" s="223" t="s">
        <v>8</v>
      </c>
      <c r="B7" s="195">
        <v>27</v>
      </c>
      <c r="C7" s="195">
        <v>18</v>
      </c>
      <c r="D7" s="195">
        <v>112</v>
      </c>
      <c r="E7" s="26"/>
      <c r="F7" s="201">
        <f t="shared" si="0"/>
        <v>1</v>
      </c>
      <c r="G7" s="201">
        <f t="shared" si="1"/>
        <v>1</v>
      </c>
      <c r="H7" s="201">
        <f t="shared" si="2"/>
        <v>1</v>
      </c>
      <c r="I7" s="201">
        <f t="shared" si="3"/>
        <v>1</v>
      </c>
      <c r="J7" s="220"/>
      <c r="L7" s="203" t="s">
        <v>356</v>
      </c>
      <c r="M7" s="204">
        <v>27</v>
      </c>
      <c r="N7" s="204">
        <v>18</v>
      </c>
      <c r="O7" s="206">
        <v>112</v>
      </c>
      <c r="Q7" s="232"/>
      <c r="R7" s="202" t="s">
        <v>659</v>
      </c>
    </row>
    <row r="8" spans="1:20" ht="15.75" customHeight="1" x14ac:dyDescent="0.25">
      <c r="A8" s="223" t="s">
        <v>9</v>
      </c>
      <c r="B8" s="195">
        <v>47</v>
      </c>
      <c r="C8" s="195">
        <v>32</v>
      </c>
      <c r="D8" s="195">
        <v>120</v>
      </c>
      <c r="E8" s="26"/>
      <c r="F8" s="201">
        <f t="shared" si="0"/>
        <v>1</v>
      </c>
      <c r="G8" s="201">
        <f t="shared" si="1"/>
        <v>1</v>
      </c>
      <c r="H8" s="201">
        <f t="shared" si="2"/>
        <v>1</v>
      </c>
      <c r="I8" s="201">
        <f t="shared" si="3"/>
        <v>1</v>
      </c>
      <c r="J8" s="220"/>
      <c r="L8" s="203" t="s">
        <v>357</v>
      </c>
      <c r="M8" s="204">
        <v>47</v>
      </c>
      <c r="N8" s="204">
        <v>32</v>
      </c>
      <c r="O8" s="206">
        <v>120</v>
      </c>
    </row>
    <row r="9" spans="1:20" ht="15.75" customHeight="1" x14ac:dyDescent="0.25">
      <c r="A9" s="223" t="s">
        <v>10</v>
      </c>
      <c r="B9" s="195">
        <v>41</v>
      </c>
      <c r="C9" s="195">
        <v>28</v>
      </c>
      <c r="D9" s="195">
        <v>91</v>
      </c>
      <c r="E9" s="26"/>
      <c r="F9" s="201">
        <f t="shared" si="0"/>
        <v>1</v>
      </c>
      <c r="G9" s="201">
        <f t="shared" si="1"/>
        <v>1</v>
      </c>
      <c r="H9" s="201">
        <f t="shared" si="2"/>
        <v>1</v>
      </c>
      <c r="I9" s="201">
        <f t="shared" si="3"/>
        <v>1</v>
      </c>
      <c r="J9" s="220"/>
      <c r="L9" s="203" t="s">
        <v>358</v>
      </c>
      <c r="M9" s="204">
        <v>41</v>
      </c>
      <c r="N9" s="204">
        <v>28</v>
      </c>
      <c r="O9" s="205">
        <v>91</v>
      </c>
    </row>
    <row r="10" spans="1:20" ht="15.75" customHeight="1" x14ac:dyDescent="0.25">
      <c r="A10" s="223" t="s">
        <v>11</v>
      </c>
      <c r="B10" s="195">
        <v>40</v>
      </c>
      <c r="C10" s="195">
        <v>27</v>
      </c>
      <c r="D10" s="195">
        <v>368</v>
      </c>
      <c r="E10" s="26"/>
      <c r="F10" s="201">
        <f t="shared" si="0"/>
        <v>1</v>
      </c>
      <c r="G10" s="201">
        <f t="shared" si="1"/>
        <v>1</v>
      </c>
      <c r="H10" s="201">
        <f t="shared" si="2"/>
        <v>1</v>
      </c>
      <c r="I10" s="201">
        <f t="shared" si="3"/>
        <v>1</v>
      </c>
      <c r="J10" s="220"/>
      <c r="L10" s="203" t="s">
        <v>359</v>
      </c>
      <c r="M10" s="207">
        <v>40</v>
      </c>
      <c r="N10" s="207">
        <v>27</v>
      </c>
      <c r="O10" s="208">
        <v>368</v>
      </c>
      <c r="Q10" s="215" t="s">
        <v>604</v>
      </c>
    </row>
    <row r="11" spans="1:20" ht="15.75" customHeight="1" x14ac:dyDescent="0.25">
      <c r="A11" s="223" t="s">
        <v>12</v>
      </c>
      <c r="B11" s="195">
        <v>35</v>
      </c>
      <c r="C11" s="195">
        <v>24</v>
      </c>
      <c r="D11" s="195">
        <v>113</v>
      </c>
      <c r="E11" s="26"/>
      <c r="F11" s="201">
        <f t="shared" si="0"/>
        <v>1</v>
      </c>
      <c r="G11" s="201">
        <f t="shared" si="1"/>
        <v>1</v>
      </c>
      <c r="H11" s="201">
        <f t="shared" si="2"/>
        <v>1</v>
      </c>
      <c r="I11" s="201">
        <f t="shared" si="3"/>
        <v>1</v>
      </c>
      <c r="J11" s="220"/>
      <c r="L11" s="203" t="s">
        <v>360</v>
      </c>
      <c r="M11" s="204">
        <v>35</v>
      </c>
      <c r="N11" s="204">
        <v>24</v>
      </c>
      <c r="O11" s="206">
        <v>113</v>
      </c>
      <c r="Q11" s="202" t="s">
        <v>607</v>
      </c>
      <c r="T11" s="24">
        <f>COUNT(B3:B227)-1</f>
        <v>224</v>
      </c>
    </row>
    <row r="12" spans="1:20" ht="15.75" customHeight="1" x14ac:dyDescent="0.25">
      <c r="A12" s="223" t="s">
        <v>13</v>
      </c>
      <c r="B12" s="195">
        <v>29</v>
      </c>
      <c r="C12" s="195">
        <v>20</v>
      </c>
      <c r="D12" s="195">
        <v>107</v>
      </c>
      <c r="E12" s="26"/>
      <c r="F12" s="201">
        <f t="shared" si="0"/>
        <v>1</v>
      </c>
      <c r="G12" s="201">
        <f t="shared" si="1"/>
        <v>1</v>
      </c>
      <c r="H12" s="201">
        <f t="shared" si="2"/>
        <v>1</v>
      </c>
      <c r="I12" s="201">
        <f t="shared" si="3"/>
        <v>1</v>
      </c>
      <c r="J12" s="220"/>
      <c r="L12" s="203" t="s">
        <v>361</v>
      </c>
      <c r="M12" s="207">
        <v>29</v>
      </c>
      <c r="N12" s="207">
        <v>20</v>
      </c>
      <c r="O12" s="208">
        <v>107</v>
      </c>
      <c r="Q12" s="202" t="s">
        <v>605</v>
      </c>
      <c r="T12" s="24">
        <f>COUNT(M3:M400)</f>
        <v>224</v>
      </c>
    </row>
    <row r="13" spans="1:20" ht="15.75" customHeight="1" x14ac:dyDescent="0.25">
      <c r="A13" s="223" t="s">
        <v>14</v>
      </c>
      <c r="B13" s="195">
        <v>44</v>
      </c>
      <c r="C13" s="195">
        <v>29</v>
      </c>
      <c r="D13" s="195">
        <v>88</v>
      </c>
      <c r="E13" s="26"/>
      <c r="F13" s="201">
        <f t="shared" si="0"/>
        <v>1</v>
      </c>
      <c r="G13" s="201">
        <f t="shared" si="1"/>
        <v>1</v>
      </c>
      <c r="H13" s="201">
        <f t="shared" si="2"/>
        <v>1</v>
      </c>
      <c r="I13" s="201">
        <f t="shared" si="3"/>
        <v>1</v>
      </c>
      <c r="J13" s="220"/>
      <c r="L13" s="203" t="s">
        <v>362</v>
      </c>
      <c r="M13" s="204">
        <v>44</v>
      </c>
      <c r="N13" s="204">
        <v>29</v>
      </c>
      <c r="O13" s="205">
        <v>88</v>
      </c>
      <c r="R13" s="215" t="s">
        <v>606</v>
      </c>
      <c r="S13" s="215"/>
      <c r="T13" s="215">
        <f>T11-T12</f>
        <v>0</v>
      </c>
    </row>
    <row r="14" spans="1:20" ht="15.75" customHeight="1" x14ac:dyDescent="0.25">
      <c r="A14" s="223" t="s">
        <v>199</v>
      </c>
      <c r="B14" s="195">
        <v>74</v>
      </c>
      <c r="C14" s="195">
        <v>49</v>
      </c>
      <c r="D14" s="195">
        <v>186</v>
      </c>
      <c r="E14" s="26"/>
      <c r="F14" s="201">
        <f t="shared" si="0"/>
        <v>0</v>
      </c>
      <c r="G14" s="201">
        <f t="shared" si="1"/>
        <v>1</v>
      </c>
      <c r="H14" s="201">
        <f t="shared" si="2"/>
        <v>1</v>
      </c>
      <c r="I14" s="201">
        <f t="shared" si="3"/>
        <v>1</v>
      </c>
      <c r="J14" s="220" t="s">
        <v>578</v>
      </c>
      <c r="L14" s="203" t="s">
        <v>579</v>
      </c>
      <c r="M14" s="211"/>
      <c r="N14" s="211"/>
      <c r="O14" s="211"/>
    </row>
    <row r="15" spans="1:20" ht="15.75" customHeight="1" x14ac:dyDescent="0.25">
      <c r="A15" s="223" t="s">
        <v>198</v>
      </c>
      <c r="B15" s="195">
        <v>57</v>
      </c>
      <c r="C15" s="195">
        <v>38</v>
      </c>
      <c r="D15" s="195">
        <v>173</v>
      </c>
      <c r="E15" s="26"/>
      <c r="F15" s="201">
        <f t="shared" si="0"/>
        <v>0</v>
      </c>
      <c r="G15" s="201">
        <f t="shared" si="1"/>
        <v>1</v>
      </c>
      <c r="H15" s="201">
        <f t="shared" si="2"/>
        <v>1</v>
      </c>
      <c r="I15" s="201">
        <f t="shared" si="3"/>
        <v>1</v>
      </c>
      <c r="J15" s="220" t="s">
        <v>582</v>
      </c>
      <c r="L15" s="203" t="s">
        <v>363</v>
      </c>
      <c r="M15" s="204">
        <v>74</v>
      </c>
      <c r="N15" s="204">
        <v>49</v>
      </c>
      <c r="O15" s="206">
        <v>186</v>
      </c>
    </row>
    <row r="16" spans="1:20" ht="15.75" customHeight="1" x14ac:dyDescent="0.25">
      <c r="A16" s="223" t="s">
        <v>200</v>
      </c>
      <c r="B16" s="195">
        <v>57</v>
      </c>
      <c r="C16" s="195">
        <v>38</v>
      </c>
      <c r="D16" s="195">
        <v>173</v>
      </c>
      <c r="E16" s="26"/>
      <c r="F16" s="201">
        <f t="shared" si="0"/>
        <v>0</v>
      </c>
      <c r="G16" s="201">
        <f t="shared" si="1"/>
        <v>1</v>
      </c>
      <c r="H16" s="201">
        <f t="shared" si="2"/>
        <v>1</v>
      </c>
      <c r="I16" s="201">
        <f t="shared" si="3"/>
        <v>1</v>
      </c>
      <c r="J16" s="220" t="s">
        <v>583</v>
      </c>
      <c r="L16" s="203" t="s">
        <v>364</v>
      </c>
      <c r="M16" s="204">
        <v>57</v>
      </c>
      <c r="N16" s="204">
        <v>38</v>
      </c>
      <c r="O16" s="206">
        <v>173</v>
      </c>
      <c r="Q16" s="215" t="s">
        <v>660</v>
      </c>
    </row>
    <row r="17" spans="1:18" ht="15.75" customHeight="1" x14ac:dyDescent="0.25">
      <c r="A17" s="223" t="s">
        <v>15</v>
      </c>
      <c r="B17" s="195">
        <v>48</v>
      </c>
      <c r="C17" s="195">
        <v>32</v>
      </c>
      <c r="D17" s="195">
        <v>153</v>
      </c>
      <c r="E17" s="26"/>
      <c r="F17" s="201">
        <f t="shared" si="0"/>
        <v>1</v>
      </c>
      <c r="G17" s="201">
        <f t="shared" si="1"/>
        <v>1</v>
      </c>
      <c r="H17" s="201">
        <f t="shared" si="2"/>
        <v>1</v>
      </c>
      <c r="I17" s="201">
        <f t="shared" si="3"/>
        <v>1</v>
      </c>
      <c r="J17" s="220"/>
      <c r="L17" s="203" t="s">
        <v>365</v>
      </c>
      <c r="M17" s="204">
        <v>57</v>
      </c>
      <c r="N17" s="204">
        <v>38</v>
      </c>
      <c r="O17" s="206">
        <v>173</v>
      </c>
      <c r="Q17" s="202" t="s">
        <v>662</v>
      </c>
      <c r="R17" s="24" t="s">
        <v>663</v>
      </c>
    </row>
    <row r="18" spans="1:18" ht="15.75" customHeight="1" x14ac:dyDescent="0.25">
      <c r="A18" s="223" t="s">
        <v>16</v>
      </c>
      <c r="B18" s="195">
        <v>46</v>
      </c>
      <c r="C18" s="195">
        <v>31</v>
      </c>
      <c r="D18" s="195">
        <v>189</v>
      </c>
      <c r="E18" s="26"/>
      <c r="F18" s="201">
        <f t="shared" si="0"/>
        <v>1</v>
      </c>
      <c r="G18" s="201">
        <f t="shared" si="1"/>
        <v>1</v>
      </c>
      <c r="H18" s="201">
        <f t="shared" si="2"/>
        <v>1</v>
      </c>
      <c r="I18" s="201">
        <f t="shared" si="3"/>
        <v>1</v>
      </c>
      <c r="J18" s="220"/>
      <c r="L18" s="203" t="s">
        <v>366</v>
      </c>
      <c r="M18" s="204">
        <v>48</v>
      </c>
      <c r="N18" s="204">
        <v>32</v>
      </c>
      <c r="O18" s="206">
        <v>153</v>
      </c>
      <c r="Q18" s="202" t="s">
        <v>661</v>
      </c>
      <c r="R18" s="202" t="s">
        <v>664</v>
      </c>
    </row>
    <row r="19" spans="1:18" ht="15.75" customHeight="1" x14ac:dyDescent="0.25">
      <c r="A19" s="223" t="s">
        <v>17</v>
      </c>
      <c r="B19" s="195">
        <v>54</v>
      </c>
      <c r="C19" s="195">
        <v>36</v>
      </c>
      <c r="D19" s="195">
        <v>206</v>
      </c>
      <c r="E19" s="26"/>
      <c r="F19" s="201">
        <f t="shared" si="0"/>
        <v>1</v>
      </c>
      <c r="G19" s="201">
        <f t="shared" si="1"/>
        <v>1</v>
      </c>
      <c r="H19" s="201">
        <f t="shared" si="2"/>
        <v>1</v>
      </c>
      <c r="I19" s="201">
        <f t="shared" si="3"/>
        <v>1</v>
      </c>
      <c r="J19" s="220"/>
      <c r="L19" s="203" t="s">
        <v>367</v>
      </c>
      <c r="M19" s="207">
        <v>46</v>
      </c>
      <c r="N19" s="207">
        <v>31</v>
      </c>
      <c r="O19" s="208">
        <v>189</v>
      </c>
      <c r="R19" s="202" t="s">
        <v>665</v>
      </c>
    </row>
    <row r="20" spans="1:18" ht="15.75" customHeight="1" x14ac:dyDescent="0.25">
      <c r="A20" s="223" t="s">
        <v>18</v>
      </c>
      <c r="B20" s="195">
        <v>59</v>
      </c>
      <c r="C20" s="195">
        <v>40</v>
      </c>
      <c r="D20" s="195">
        <v>141</v>
      </c>
      <c r="E20" s="26"/>
      <c r="F20" s="201">
        <f t="shared" si="0"/>
        <v>1</v>
      </c>
      <c r="G20" s="201">
        <f t="shared" si="1"/>
        <v>1</v>
      </c>
      <c r="H20" s="201">
        <f t="shared" si="2"/>
        <v>1</v>
      </c>
      <c r="I20" s="201">
        <f t="shared" si="3"/>
        <v>1</v>
      </c>
      <c r="J20" s="220"/>
      <c r="L20" s="203" t="s">
        <v>368</v>
      </c>
      <c r="M20" s="204">
        <v>54</v>
      </c>
      <c r="N20" s="204">
        <v>36</v>
      </c>
      <c r="O20" s="206">
        <v>206</v>
      </c>
      <c r="R20" s="202" t="s">
        <v>666</v>
      </c>
    </row>
    <row r="21" spans="1:18" ht="15.75" customHeight="1" x14ac:dyDescent="0.25">
      <c r="A21" s="223" t="s">
        <v>19</v>
      </c>
      <c r="B21" s="195">
        <v>40</v>
      </c>
      <c r="C21" s="195">
        <v>27</v>
      </c>
      <c r="D21" s="195">
        <v>168</v>
      </c>
      <c r="E21" s="26"/>
      <c r="F21" s="201">
        <f t="shared" si="0"/>
        <v>1</v>
      </c>
      <c r="G21" s="201">
        <f t="shared" si="1"/>
        <v>1</v>
      </c>
      <c r="H21" s="201">
        <f t="shared" si="2"/>
        <v>1</v>
      </c>
      <c r="I21" s="201">
        <f t="shared" si="3"/>
        <v>1</v>
      </c>
      <c r="J21" s="220"/>
      <c r="L21" s="203" t="s">
        <v>369</v>
      </c>
      <c r="M21" s="204">
        <v>59</v>
      </c>
      <c r="N21" s="204">
        <v>40</v>
      </c>
      <c r="O21" s="206">
        <v>141</v>
      </c>
      <c r="R21" s="202" t="s">
        <v>667</v>
      </c>
    </row>
    <row r="22" spans="1:18" ht="15.75" customHeight="1" x14ac:dyDescent="0.25">
      <c r="A22" s="224" t="s">
        <v>348</v>
      </c>
      <c r="B22" s="195">
        <v>27</v>
      </c>
      <c r="C22" s="195">
        <v>18</v>
      </c>
      <c r="D22" s="195">
        <v>176</v>
      </c>
      <c r="E22" s="26"/>
      <c r="F22" s="201">
        <f t="shared" si="0"/>
        <v>1</v>
      </c>
      <c r="G22" s="201">
        <f t="shared" si="1"/>
        <v>1</v>
      </c>
      <c r="H22" s="201">
        <f t="shared" si="2"/>
        <v>1</v>
      </c>
      <c r="I22" s="201">
        <f t="shared" si="3"/>
        <v>1</v>
      </c>
      <c r="J22" s="220"/>
      <c r="L22" s="203" t="s">
        <v>370</v>
      </c>
      <c r="M22" s="207">
        <v>40</v>
      </c>
      <c r="N22" s="207">
        <v>27</v>
      </c>
      <c r="O22" s="208">
        <v>168</v>
      </c>
    </row>
    <row r="23" spans="1:18" ht="15.75" customHeight="1" x14ac:dyDescent="0.25">
      <c r="A23" s="223" t="s">
        <v>20</v>
      </c>
      <c r="B23" s="195">
        <v>46</v>
      </c>
      <c r="C23" s="195">
        <v>31</v>
      </c>
      <c r="D23" s="195">
        <v>108</v>
      </c>
      <c r="E23" s="26"/>
      <c r="F23" s="201">
        <f t="shared" si="0"/>
        <v>1</v>
      </c>
      <c r="G23" s="201">
        <f t="shared" si="1"/>
        <v>1</v>
      </c>
      <c r="H23" s="201">
        <f t="shared" si="2"/>
        <v>1</v>
      </c>
      <c r="I23" s="201">
        <f t="shared" si="3"/>
        <v>1</v>
      </c>
      <c r="J23" s="220"/>
      <c r="L23" s="209" t="s">
        <v>371</v>
      </c>
      <c r="M23" s="207">
        <v>27</v>
      </c>
      <c r="N23" s="207">
        <v>18</v>
      </c>
      <c r="O23" s="208">
        <v>176</v>
      </c>
    </row>
    <row r="24" spans="1:18" ht="15.75" customHeight="1" x14ac:dyDescent="0.25">
      <c r="A24" s="223" t="s">
        <v>197</v>
      </c>
      <c r="B24" s="195">
        <v>23</v>
      </c>
      <c r="C24" s="195">
        <v>16</v>
      </c>
      <c r="D24" s="195">
        <v>75</v>
      </c>
      <c r="E24" s="26"/>
      <c r="F24" s="201">
        <f t="shared" si="0"/>
        <v>1</v>
      </c>
      <c r="G24" s="201">
        <f t="shared" si="1"/>
        <v>1</v>
      </c>
      <c r="H24" s="201">
        <f t="shared" si="2"/>
        <v>1</v>
      </c>
      <c r="I24" s="201">
        <f t="shared" si="3"/>
        <v>1</v>
      </c>
      <c r="J24" s="220"/>
      <c r="L24" s="203" t="s">
        <v>372</v>
      </c>
      <c r="M24" s="204">
        <v>46</v>
      </c>
      <c r="N24" s="204">
        <v>31</v>
      </c>
      <c r="O24" s="206">
        <v>108</v>
      </c>
    </row>
    <row r="25" spans="1:18" ht="15.75" customHeight="1" x14ac:dyDescent="0.25">
      <c r="A25" s="223" t="s">
        <v>21</v>
      </c>
      <c r="B25" s="195">
        <v>46</v>
      </c>
      <c r="C25" s="195">
        <v>31</v>
      </c>
      <c r="D25" s="195">
        <v>176</v>
      </c>
      <c r="E25" s="26"/>
      <c r="F25" s="201">
        <f t="shared" ref="F25:F88" si="4">_xlfn.IFNA(IF(VLOOKUP(IF(J25="",A25,J25),$L$3:$O$330,1,FALSE)=A25,1,0),0)</f>
        <v>1</v>
      </c>
      <c r="G25" s="201">
        <f t="shared" ref="G25:G88" si="5">_xlfn.IFNA(IF(VLOOKUP(IF(J25="",A25,J25),$L$3:$O$330,2,FALSE)=B25,1,0),0)</f>
        <v>1</v>
      </c>
      <c r="H25" s="201">
        <f t="shared" ref="H25:H88" si="6">_xlfn.IFNA(IF(VLOOKUP(IF(J25="",A25,J25),$L$3:$O$330,3,FALSE)=C25,1,0),0)</f>
        <v>1</v>
      </c>
      <c r="I25" s="201">
        <f t="shared" ref="I25:I88" si="7">_xlfn.IFNA(IF(VLOOKUP(IF(J25="",A25,J25),$L$3:$O$330,4,FALSE)=D25,1,0),0)</f>
        <v>1</v>
      </c>
      <c r="J25" s="220"/>
      <c r="L25" s="203" t="s">
        <v>373</v>
      </c>
      <c r="M25" s="204">
        <v>23</v>
      </c>
      <c r="N25" s="204">
        <v>16</v>
      </c>
      <c r="O25" s="205">
        <v>75</v>
      </c>
    </row>
    <row r="26" spans="1:18" ht="15.75" customHeight="1" x14ac:dyDescent="0.25">
      <c r="A26" s="223" t="s">
        <v>195</v>
      </c>
      <c r="B26" s="195">
        <v>51</v>
      </c>
      <c r="C26" s="195">
        <v>34</v>
      </c>
      <c r="D26" s="195">
        <v>88</v>
      </c>
      <c r="E26" s="26"/>
      <c r="F26" s="201">
        <f t="shared" si="4"/>
        <v>0</v>
      </c>
      <c r="G26" s="201">
        <f t="shared" si="5"/>
        <v>1</v>
      </c>
      <c r="H26" s="201">
        <f t="shared" si="6"/>
        <v>1</v>
      </c>
      <c r="I26" s="201">
        <f t="shared" si="7"/>
        <v>1</v>
      </c>
      <c r="J26" s="220" t="s">
        <v>584</v>
      </c>
      <c r="L26" s="203" t="s">
        <v>374</v>
      </c>
      <c r="M26" s="204">
        <v>46</v>
      </c>
      <c r="N26" s="204">
        <v>31</v>
      </c>
      <c r="O26" s="206">
        <v>176</v>
      </c>
    </row>
    <row r="27" spans="1:18" ht="15.75" customHeight="1" x14ac:dyDescent="0.25">
      <c r="A27" s="223" t="s">
        <v>194</v>
      </c>
      <c r="B27" s="195">
        <v>69</v>
      </c>
      <c r="C27" s="195">
        <v>46</v>
      </c>
      <c r="D27" s="195">
        <v>140</v>
      </c>
      <c r="E27" s="26"/>
      <c r="F27" s="201">
        <f t="shared" si="4"/>
        <v>0</v>
      </c>
      <c r="G27" s="201">
        <f t="shared" si="5"/>
        <v>1</v>
      </c>
      <c r="H27" s="201">
        <f t="shared" si="6"/>
        <v>1</v>
      </c>
      <c r="I27" s="201">
        <f t="shared" si="7"/>
        <v>1</v>
      </c>
      <c r="J27" s="220" t="s">
        <v>585</v>
      </c>
      <c r="L27" s="203" t="s">
        <v>580</v>
      </c>
      <c r="M27" s="211"/>
      <c r="N27" s="211"/>
      <c r="O27" s="211"/>
    </row>
    <row r="28" spans="1:18" ht="15.75" customHeight="1" x14ac:dyDescent="0.25">
      <c r="A28" s="223" t="s">
        <v>193</v>
      </c>
      <c r="B28" s="195">
        <v>46</v>
      </c>
      <c r="C28" s="195">
        <v>31</v>
      </c>
      <c r="D28" s="195">
        <v>151</v>
      </c>
      <c r="E28" s="26"/>
      <c r="F28" s="201">
        <f t="shared" si="4"/>
        <v>0</v>
      </c>
      <c r="G28" s="201">
        <f t="shared" si="5"/>
        <v>1</v>
      </c>
      <c r="H28" s="201">
        <f t="shared" si="6"/>
        <v>1</v>
      </c>
      <c r="I28" s="201">
        <f t="shared" si="7"/>
        <v>1</v>
      </c>
      <c r="J28" s="220" t="s">
        <v>586</v>
      </c>
      <c r="L28" s="203" t="s">
        <v>375</v>
      </c>
      <c r="M28" s="204">
        <v>51</v>
      </c>
      <c r="N28" s="204">
        <v>34</v>
      </c>
      <c r="O28" s="205">
        <v>88</v>
      </c>
    </row>
    <row r="29" spans="1:18" ht="15.75" customHeight="1" x14ac:dyDescent="0.25">
      <c r="A29" s="223" t="s">
        <v>196</v>
      </c>
      <c r="B29" s="195">
        <v>46</v>
      </c>
      <c r="C29" s="195">
        <v>31</v>
      </c>
      <c r="D29" s="195">
        <v>88</v>
      </c>
      <c r="E29" s="26"/>
      <c r="F29" s="201">
        <f t="shared" si="4"/>
        <v>0</v>
      </c>
      <c r="G29" s="201">
        <f t="shared" si="5"/>
        <v>0</v>
      </c>
      <c r="H29" s="201">
        <f t="shared" si="6"/>
        <v>0</v>
      </c>
      <c r="I29" s="201">
        <f t="shared" si="7"/>
        <v>0</v>
      </c>
      <c r="J29" s="220" t="s">
        <v>583</v>
      </c>
      <c r="L29" s="203" t="s">
        <v>376</v>
      </c>
      <c r="M29" s="204">
        <v>69</v>
      </c>
      <c r="N29" s="204">
        <v>46</v>
      </c>
      <c r="O29" s="206">
        <v>140</v>
      </c>
    </row>
    <row r="30" spans="1:18" ht="15.75" customHeight="1" x14ac:dyDescent="0.25">
      <c r="A30" s="224" t="s">
        <v>349</v>
      </c>
      <c r="B30" s="195">
        <v>45</v>
      </c>
      <c r="C30" s="195">
        <v>30</v>
      </c>
      <c r="D30" s="195">
        <v>110</v>
      </c>
      <c r="E30" s="26"/>
      <c r="F30" s="201">
        <f t="shared" si="4"/>
        <v>1</v>
      </c>
      <c r="G30" s="201">
        <f t="shared" si="5"/>
        <v>1</v>
      </c>
      <c r="H30" s="201">
        <f t="shared" si="6"/>
        <v>1</v>
      </c>
      <c r="I30" s="201">
        <f t="shared" si="7"/>
        <v>1</v>
      </c>
      <c r="J30" s="220"/>
      <c r="L30" s="203" t="s">
        <v>377</v>
      </c>
      <c r="M30" s="204">
        <v>46</v>
      </c>
      <c r="N30" s="204">
        <v>31</v>
      </c>
      <c r="O30" s="206">
        <v>151</v>
      </c>
    </row>
    <row r="31" spans="1:18" ht="15.75" customHeight="1" x14ac:dyDescent="0.25">
      <c r="A31" s="223" t="s">
        <v>22</v>
      </c>
      <c r="B31" s="195">
        <v>22</v>
      </c>
      <c r="C31" s="195">
        <v>15</v>
      </c>
      <c r="D31" s="195">
        <v>115</v>
      </c>
      <c r="E31" s="26"/>
      <c r="F31" s="201">
        <f t="shared" si="4"/>
        <v>1</v>
      </c>
      <c r="G31" s="201">
        <f t="shared" si="5"/>
        <v>1</v>
      </c>
      <c r="H31" s="201">
        <f t="shared" si="6"/>
        <v>1</v>
      </c>
      <c r="I31" s="201">
        <f t="shared" si="7"/>
        <v>1</v>
      </c>
      <c r="J31" s="220"/>
      <c r="L31" s="203" t="s">
        <v>365</v>
      </c>
      <c r="M31" s="204">
        <v>46</v>
      </c>
      <c r="N31" s="204">
        <v>31</v>
      </c>
      <c r="O31" s="205">
        <v>88</v>
      </c>
    </row>
    <row r="32" spans="1:18" ht="15.75" customHeight="1" x14ac:dyDescent="0.25">
      <c r="A32" s="223" t="s">
        <v>23</v>
      </c>
      <c r="B32" s="195">
        <v>38</v>
      </c>
      <c r="C32" s="195">
        <v>25</v>
      </c>
      <c r="D32" s="195">
        <v>174</v>
      </c>
      <c r="E32" s="26"/>
      <c r="F32" s="201">
        <f t="shared" si="4"/>
        <v>1</v>
      </c>
      <c r="G32" s="201">
        <f t="shared" si="5"/>
        <v>1</v>
      </c>
      <c r="H32" s="201">
        <f t="shared" si="6"/>
        <v>1</v>
      </c>
      <c r="I32" s="201">
        <f t="shared" si="7"/>
        <v>1</v>
      </c>
      <c r="J32" s="220"/>
      <c r="L32" s="203" t="s">
        <v>378</v>
      </c>
      <c r="M32" s="207">
        <v>45</v>
      </c>
      <c r="N32" s="207">
        <v>30</v>
      </c>
      <c r="O32" s="208">
        <v>110</v>
      </c>
    </row>
    <row r="33" spans="1:15" ht="15.75" customHeight="1" x14ac:dyDescent="0.25">
      <c r="A33" s="223" t="s">
        <v>24</v>
      </c>
      <c r="B33" s="195">
        <v>36</v>
      </c>
      <c r="C33" s="195">
        <v>24</v>
      </c>
      <c r="D33" s="195">
        <v>138</v>
      </c>
      <c r="E33" s="26"/>
      <c r="F33" s="201">
        <f t="shared" si="4"/>
        <v>1</v>
      </c>
      <c r="G33" s="201">
        <f t="shared" si="5"/>
        <v>1</v>
      </c>
      <c r="H33" s="201">
        <f t="shared" si="6"/>
        <v>1</v>
      </c>
      <c r="I33" s="201">
        <f t="shared" si="7"/>
        <v>1</v>
      </c>
      <c r="J33" s="220"/>
      <c r="L33" s="203" t="s">
        <v>379</v>
      </c>
      <c r="M33" s="204">
        <v>22</v>
      </c>
      <c r="N33" s="204">
        <v>15</v>
      </c>
      <c r="O33" s="206">
        <v>115</v>
      </c>
    </row>
    <row r="34" spans="1:15" ht="15.75" customHeight="1" x14ac:dyDescent="0.25">
      <c r="A34" s="223" t="s">
        <v>25</v>
      </c>
      <c r="B34" s="195">
        <v>44</v>
      </c>
      <c r="C34" s="195">
        <v>29</v>
      </c>
      <c r="D34" s="195">
        <v>154</v>
      </c>
      <c r="E34" s="26"/>
      <c r="F34" s="201">
        <f t="shared" si="4"/>
        <v>1</v>
      </c>
      <c r="G34" s="201">
        <f t="shared" si="5"/>
        <v>1</v>
      </c>
      <c r="H34" s="201">
        <f t="shared" si="6"/>
        <v>1</v>
      </c>
      <c r="I34" s="201">
        <f t="shared" si="7"/>
        <v>1</v>
      </c>
      <c r="J34" s="220"/>
      <c r="L34" s="203" t="s">
        <v>380</v>
      </c>
      <c r="M34" s="204">
        <v>38</v>
      </c>
      <c r="N34" s="204">
        <v>25</v>
      </c>
      <c r="O34" s="206">
        <v>174</v>
      </c>
    </row>
    <row r="35" spans="1:15" ht="15.75" customHeight="1" x14ac:dyDescent="0.25">
      <c r="A35" s="223" t="s">
        <v>191</v>
      </c>
      <c r="B35" s="195">
        <v>41</v>
      </c>
      <c r="C35" s="195">
        <v>28</v>
      </c>
      <c r="D35" s="195">
        <v>131</v>
      </c>
      <c r="E35" s="26"/>
      <c r="F35" s="201">
        <f t="shared" si="4"/>
        <v>0</v>
      </c>
      <c r="G35" s="201">
        <f t="shared" si="5"/>
        <v>1</v>
      </c>
      <c r="H35" s="201">
        <f t="shared" si="6"/>
        <v>1</v>
      </c>
      <c r="I35" s="201">
        <f t="shared" si="7"/>
        <v>1</v>
      </c>
      <c r="J35" s="220" t="s">
        <v>587</v>
      </c>
      <c r="L35" s="203" t="s">
        <v>381</v>
      </c>
      <c r="M35" s="204">
        <v>36</v>
      </c>
      <c r="N35" s="204">
        <v>24</v>
      </c>
      <c r="O35" s="206">
        <v>138</v>
      </c>
    </row>
    <row r="36" spans="1:15" ht="15.75" customHeight="1" x14ac:dyDescent="0.25">
      <c r="A36" s="223" t="s">
        <v>190</v>
      </c>
      <c r="B36" s="195">
        <v>71</v>
      </c>
      <c r="C36" s="195">
        <v>48</v>
      </c>
      <c r="D36" s="195">
        <v>169</v>
      </c>
      <c r="E36" s="26"/>
      <c r="F36" s="201">
        <f t="shared" si="4"/>
        <v>0</v>
      </c>
      <c r="G36" s="201">
        <f t="shared" si="5"/>
        <v>1</v>
      </c>
      <c r="H36" s="201">
        <f t="shared" si="6"/>
        <v>1</v>
      </c>
      <c r="I36" s="201">
        <f t="shared" si="7"/>
        <v>1</v>
      </c>
      <c r="J36" s="220" t="s">
        <v>588</v>
      </c>
      <c r="L36" s="203" t="s">
        <v>382</v>
      </c>
      <c r="M36" s="204">
        <v>44</v>
      </c>
      <c r="N36" s="204">
        <v>29</v>
      </c>
      <c r="O36" s="206">
        <v>154</v>
      </c>
    </row>
    <row r="37" spans="1:15" ht="15.75" customHeight="1" x14ac:dyDescent="0.25">
      <c r="A37" s="225" t="s">
        <v>207</v>
      </c>
      <c r="B37" s="195">
        <v>36</v>
      </c>
      <c r="C37" s="195">
        <v>24</v>
      </c>
      <c r="D37" s="195">
        <v>150</v>
      </c>
      <c r="E37" s="26"/>
      <c r="F37" s="201">
        <f t="shared" si="4"/>
        <v>0</v>
      </c>
      <c r="G37" s="201">
        <f t="shared" si="5"/>
        <v>1</v>
      </c>
      <c r="H37" s="201">
        <f t="shared" si="6"/>
        <v>1</v>
      </c>
      <c r="I37" s="201">
        <f t="shared" si="7"/>
        <v>1</v>
      </c>
      <c r="J37" s="220" t="s">
        <v>589</v>
      </c>
      <c r="L37" s="203" t="s">
        <v>581</v>
      </c>
      <c r="M37" s="211"/>
      <c r="N37" s="211"/>
      <c r="O37" s="211"/>
    </row>
    <row r="38" spans="1:15" ht="15.75" customHeight="1" x14ac:dyDescent="0.25">
      <c r="A38" s="223" t="s">
        <v>189</v>
      </c>
      <c r="B38" s="195">
        <v>30</v>
      </c>
      <c r="C38" s="195">
        <v>20</v>
      </c>
      <c r="D38" s="195">
        <v>185</v>
      </c>
      <c r="E38" s="26"/>
      <c r="F38" s="201">
        <f t="shared" si="4"/>
        <v>0</v>
      </c>
      <c r="G38" s="201">
        <f t="shared" si="5"/>
        <v>1</v>
      </c>
      <c r="H38" s="201">
        <f t="shared" si="6"/>
        <v>1</v>
      </c>
      <c r="I38" s="201">
        <f t="shared" si="7"/>
        <v>1</v>
      </c>
      <c r="J38" s="220" t="s">
        <v>590</v>
      </c>
      <c r="L38" s="211"/>
      <c r="M38" s="211"/>
      <c r="N38" s="211"/>
      <c r="O38" s="211"/>
    </row>
    <row r="39" spans="1:15" ht="15.75" customHeight="1" x14ac:dyDescent="0.25">
      <c r="A39" s="223" t="s">
        <v>188</v>
      </c>
      <c r="B39" s="195">
        <v>58</v>
      </c>
      <c r="C39" s="195">
        <v>39</v>
      </c>
      <c r="D39" s="195">
        <v>217</v>
      </c>
      <c r="E39" s="26"/>
      <c r="F39" s="201">
        <f t="shared" si="4"/>
        <v>0</v>
      </c>
      <c r="G39" s="201">
        <f t="shared" si="5"/>
        <v>1</v>
      </c>
      <c r="H39" s="201">
        <f t="shared" si="6"/>
        <v>1</v>
      </c>
      <c r="I39" s="201">
        <f t="shared" si="7"/>
        <v>1</v>
      </c>
      <c r="J39" s="220" t="s">
        <v>591</v>
      </c>
      <c r="L39" s="203" t="s">
        <v>383</v>
      </c>
      <c r="M39" s="204">
        <v>41</v>
      </c>
      <c r="N39" s="204">
        <v>28</v>
      </c>
      <c r="O39" s="206">
        <v>131</v>
      </c>
    </row>
    <row r="40" spans="1:15" ht="15.75" customHeight="1" x14ac:dyDescent="0.25">
      <c r="A40" s="223" t="s">
        <v>192</v>
      </c>
      <c r="B40" s="195">
        <v>48</v>
      </c>
      <c r="C40" s="195">
        <v>32</v>
      </c>
      <c r="D40" s="195">
        <v>112</v>
      </c>
      <c r="E40" s="26"/>
      <c r="F40" s="201">
        <f t="shared" si="4"/>
        <v>0</v>
      </c>
      <c r="G40" s="201">
        <f t="shared" si="5"/>
        <v>0</v>
      </c>
      <c r="H40" s="201">
        <f t="shared" si="6"/>
        <v>0</v>
      </c>
      <c r="I40" s="201">
        <f t="shared" si="7"/>
        <v>0</v>
      </c>
      <c r="J40" s="220" t="s">
        <v>583</v>
      </c>
      <c r="L40" s="203" t="s">
        <v>384</v>
      </c>
      <c r="M40" s="204">
        <v>71</v>
      </c>
      <c r="N40" s="204">
        <v>48</v>
      </c>
      <c r="O40" s="206">
        <v>169</v>
      </c>
    </row>
    <row r="41" spans="1:15" ht="15.75" customHeight="1" x14ac:dyDescent="0.25">
      <c r="A41" s="223" t="s">
        <v>26</v>
      </c>
      <c r="B41" s="195">
        <v>60</v>
      </c>
      <c r="C41" s="195">
        <v>40</v>
      </c>
      <c r="D41" s="195">
        <v>127</v>
      </c>
      <c r="E41" s="26"/>
      <c r="F41" s="201">
        <f t="shared" si="4"/>
        <v>1</v>
      </c>
      <c r="G41" s="201">
        <f t="shared" si="5"/>
        <v>1</v>
      </c>
      <c r="H41" s="201">
        <f t="shared" si="6"/>
        <v>1</v>
      </c>
      <c r="I41" s="201">
        <f t="shared" si="7"/>
        <v>1</v>
      </c>
      <c r="J41" s="220"/>
      <c r="L41" s="203" t="s">
        <v>385</v>
      </c>
      <c r="M41" s="204">
        <v>36</v>
      </c>
      <c r="N41" s="204">
        <v>24</v>
      </c>
      <c r="O41" s="206">
        <v>150</v>
      </c>
    </row>
    <row r="42" spans="1:15" ht="15.75" customHeight="1" x14ac:dyDescent="0.25">
      <c r="A42" s="224" t="s">
        <v>575</v>
      </c>
      <c r="B42" s="195">
        <v>59</v>
      </c>
      <c r="C42" s="195">
        <v>40</v>
      </c>
      <c r="D42" s="195">
        <v>166</v>
      </c>
      <c r="E42" s="26"/>
      <c r="F42" s="201">
        <f t="shared" si="4"/>
        <v>0</v>
      </c>
      <c r="G42" s="201">
        <f t="shared" si="5"/>
        <v>1</v>
      </c>
      <c r="H42" s="201">
        <f t="shared" si="6"/>
        <v>1</v>
      </c>
      <c r="I42" s="201">
        <f t="shared" si="7"/>
        <v>1</v>
      </c>
      <c r="J42" s="220" t="s">
        <v>592</v>
      </c>
      <c r="L42" s="203" t="s">
        <v>386</v>
      </c>
      <c r="M42" s="204">
        <v>30</v>
      </c>
      <c r="N42" s="204">
        <v>20</v>
      </c>
      <c r="O42" s="206">
        <v>185</v>
      </c>
    </row>
    <row r="43" spans="1:15" ht="15.75" customHeight="1" x14ac:dyDescent="0.25">
      <c r="A43" s="223" t="s">
        <v>140</v>
      </c>
      <c r="B43" s="196">
        <v>28</v>
      </c>
      <c r="C43" s="196">
        <v>14</v>
      </c>
      <c r="D43" s="196">
        <v>20</v>
      </c>
      <c r="E43" s="26"/>
      <c r="F43" s="201">
        <f t="shared" si="4"/>
        <v>0</v>
      </c>
      <c r="G43" s="201">
        <f t="shared" si="5"/>
        <v>0</v>
      </c>
      <c r="H43" s="201">
        <f t="shared" si="6"/>
        <v>0</v>
      </c>
      <c r="I43" s="201">
        <f t="shared" si="7"/>
        <v>0</v>
      </c>
      <c r="J43" s="220"/>
      <c r="L43" s="203" t="s">
        <v>387</v>
      </c>
      <c r="M43" s="204">
        <v>58</v>
      </c>
      <c r="N43" s="204">
        <v>39</v>
      </c>
      <c r="O43" s="206">
        <v>217</v>
      </c>
    </row>
    <row r="44" spans="1:15" ht="15.75" customHeight="1" x14ac:dyDescent="0.25">
      <c r="A44" s="223" t="s">
        <v>27</v>
      </c>
      <c r="B44" s="195">
        <v>75</v>
      </c>
      <c r="C44" s="195">
        <v>50</v>
      </c>
      <c r="D44" s="195">
        <v>183</v>
      </c>
      <c r="E44" s="26"/>
      <c r="F44" s="201">
        <f t="shared" si="4"/>
        <v>1</v>
      </c>
      <c r="G44" s="201">
        <f t="shared" si="5"/>
        <v>1</v>
      </c>
      <c r="H44" s="201">
        <f t="shared" si="6"/>
        <v>1</v>
      </c>
      <c r="I44" s="201">
        <f t="shared" si="7"/>
        <v>1</v>
      </c>
      <c r="J44" s="220"/>
      <c r="L44" s="203" t="s">
        <v>365</v>
      </c>
      <c r="M44" s="204">
        <v>48</v>
      </c>
      <c r="N44" s="204">
        <v>32</v>
      </c>
      <c r="O44" s="206">
        <v>112</v>
      </c>
    </row>
    <row r="45" spans="1:15" ht="15.75" customHeight="1" x14ac:dyDescent="0.25">
      <c r="A45" s="223" t="s">
        <v>28</v>
      </c>
      <c r="B45" s="195">
        <v>50</v>
      </c>
      <c r="C45" s="195">
        <v>33</v>
      </c>
      <c r="D45" s="195">
        <v>167</v>
      </c>
      <c r="E45" s="26"/>
      <c r="F45" s="201">
        <f t="shared" si="4"/>
        <v>1</v>
      </c>
      <c r="G45" s="201">
        <f t="shared" si="5"/>
        <v>1</v>
      </c>
      <c r="H45" s="201">
        <f t="shared" si="6"/>
        <v>1</v>
      </c>
      <c r="I45" s="201">
        <f t="shared" si="7"/>
        <v>1</v>
      </c>
      <c r="J45" s="220"/>
      <c r="L45" s="203" t="s">
        <v>388</v>
      </c>
      <c r="M45" s="207">
        <v>60</v>
      </c>
      <c r="N45" s="207">
        <v>40</v>
      </c>
      <c r="O45" s="208">
        <v>127</v>
      </c>
    </row>
    <row r="46" spans="1:15" ht="15.75" customHeight="1" x14ac:dyDescent="0.25">
      <c r="A46" s="223" t="s">
        <v>29</v>
      </c>
      <c r="B46" s="195">
        <v>77</v>
      </c>
      <c r="C46" s="195">
        <v>52</v>
      </c>
      <c r="D46" s="195">
        <v>255</v>
      </c>
      <c r="E46" s="26"/>
      <c r="F46" s="201">
        <f t="shared" si="4"/>
        <v>1</v>
      </c>
      <c r="G46" s="201">
        <f t="shared" si="5"/>
        <v>1</v>
      </c>
      <c r="H46" s="201">
        <f t="shared" si="6"/>
        <v>1</v>
      </c>
      <c r="I46" s="201">
        <f t="shared" si="7"/>
        <v>1</v>
      </c>
      <c r="J46" s="220"/>
      <c r="L46" s="203" t="s">
        <v>389</v>
      </c>
      <c r="M46" s="204">
        <v>59</v>
      </c>
      <c r="N46" s="204">
        <v>40</v>
      </c>
      <c r="O46" s="206">
        <v>166</v>
      </c>
    </row>
    <row r="47" spans="1:15" ht="15.75" customHeight="1" x14ac:dyDescent="0.25">
      <c r="A47" s="223" t="s">
        <v>30</v>
      </c>
      <c r="B47" s="195">
        <v>27</v>
      </c>
      <c r="C47" s="195">
        <v>18</v>
      </c>
      <c r="D47" s="195">
        <v>103</v>
      </c>
      <c r="E47" s="26"/>
      <c r="F47" s="201">
        <f t="shared" si="4"/>
        <v>1</v>
      </c>
      <c r="G47" s="201">
        <f t="shared" si="5"/>
        <v>1</v>
      </c>
      <c r="H47" s="201">
        <f t="shared" si="6"/>
        <v>1</v>
      </c>
      <c r="I47" s="201">
        <f t="shared" si="7"/>
        <v>1</v>
      </c>
      <c r="J47" s="220"/>
      <c r="L47" s="210"/>
      <c r="M47" s="211"/>
      <c r="N47" s="211"/>
      <c r="O47" s="211"/>
    </row>
    <row r="48" spans="1:15" ht="15.75" customHeight="1" x14ac:dyDescent="0.25">
      <c r="A48" s="223" t="s">
        <v>31</v>
      </c>
      <c r="B48" s="195">
        <v>65</v>
      </c>
      <c r="C48" s="195">
        <v>44</v>
      </c>
      <c r="D48" s="195">
        <v>161</v>
      </c>
      <c r="E48" s="26"/>
      <c r="F48" s="201">
        <f t="shared" si="4"/>
        <v>1</v>
      </c>
      <c r="G48" s="201">
        <f t="shared" si="5"/>
        <v>1</v>
      </c>
      <c r="H48" s="201">
        <f t="shared" si="6"/>
        <v>1</v>
      </c>
      <c r="I48" s="201">
        <f t="shared" si="7"/>
        <v>1</v>
      </c>
      <c r="J48" s="220"/>
      <c r="L48" s="203" t="s">
        <v>390</v>
      </c>
      <c r="M48" s="204">
        <v>75</v>
      </c>
      <c r="N48" s="204">
        <v>50</v>
      </c>
      <c r="O48" s="206">
        <v>183</v>
      </c>
    </row>
    <row r="49" spans="1:15" ht="15.75" customHeight="1" x14ac:dyDescent="0.25">
      <c r="A49" s="223" t="s">
        <v>32</v>
      </c>
      <c r="B49" s="195">
        <v>46</v>
      </c>
      <c r="C49" s="195">
        <v>31</v>
      </c>
      <c r="D49" s="195">
        <v>78</v>
      </c>
      <c r="E49" s="26"/>
      <c r="F49" s="201">
        <f t="shared" si="4"/>
        <v>1</v>
      </c>
      <c r="G49" s="201">
        <f t="shared" si="5"/>
        <v>1</v>
      </c>
      <c r="H49" s="201">
        <f t="shared" si="6"/>
        <v>1</v>
      </c>
      <c r="I49" s="201">
        <f t="shared" si="7"/>
        <v>1</v>
      </c>
      <c r="J49" s="220"/>
      <c r="L49" s="203" t="s">
        <v>391</v>
      </c>
      <c r="M49" s="204">
        <v>50</v>
      </c>
      <c r="N49" s="204">
        <v>33</v>
      </c>
      <c r="O49" s="206">
        <v>167</v>
      </c>
    </row>
    <row r="50" spans="1:15" ht="15.75" customHeight="1" x14ac:dyDescent="0.25">
      <c r="A50" s="223" t="s">
        <v>33</v>
      </c>
      <c r="B50" s="195">
        <v>29</v>
      </c>
      <c r="C50" s="195">
        <v>20</v>
      </c>
      <c r="D50" s="195">
        <v>85</v>
      </c>
      <c r="E50" s="26"/>
      <c r="F50" s="201">
        <f t="shared" si="4"/>
        <v>1</v>
      </c>
      <c r="G50" s="201">
        <f t="shared" si="5"/>
        <v>1</v>
      </c>
      <c r="H50" s="201">
        <f t="shared" si="6"/>
        <v>1</v>
      </c>
      <c r="I50" s="201">
        <f t="shared" si="7"/>
        <v>1</v>
      </c>
      <c r="J50" s="220"/>
      <c r="L50" s="203" t="s">
        <v>392</v>
      </c>
      <c r="M50" s="204">
        <v>77</v>
      </c>
      <c r="N50" s="204">
        <v>52</v>
      </c>
      <c r="O50" s="206">
        <v>255</v>
      </c>
    </row>
    <row r="51" spans="1:15" ht="15.75" customHeight="1" x14ac:dyDescent="0.25">
      <c r="A51" s="223" t="s">
        <v>34</v>
      </c>
      <c r="B51" s="195">
        <v>32</v>
      </c>
      <c r="C51" s="195">
        <v>21</v>
      </c>
      <c r="D51" s="195">
        <v>183</v>
      </c>
      <c r="E51" s="26"/>
      <c r="F51" s="201">
        <f t="shared" si="4"/>
        <v>1</v>
      </c>
      <c r="G51" s="201">
        <f t="shared" si="5"/>
        <v>1</v>
      </c>
      <c r="H51" s="201">
        <f t="shared" si="6"/>
        <v>1</v>
      </c>
      <c r="I51" s="201">
        <f t="shared" si="7"/>
        <v>1</v>
      </c>
      <c r="J51" s="220"/>
      <c r="L51" s="203" t="s">
        <v>393</v>
      </c>
      <c r="M51" s="204">
        <v>27</v>
      </c>
      <c r="N51" s="204">
        <v>18</v>
      </c>
      <c r="O51" s="206">
        <v>103</v>
      </c>
    </row>
    <row r="52" spans="1:15" ht="15.75" customHeight="1" x14ac:dyDescent="0.25">
      <c r="A52" s="223" t="s">
        <v>35</v>
      </c>
      <c r="B52" s="195">
        <v>54</v>
      </c>
      <c r="C52" s="195">
        <v>36</v>
      </c>
      <c r="D52" s="195">
        <v>171</v>
      </c>
      <c r="E52" s="26"/>
      <c r="F52" s="201">
        <f t="shared" si="4"/>
        <v>1</v>
      </c>
      <c r="G52" s="201">
        <f t="shared" si="5"/>
        <v>1</v>
      </c>
      <c r="H52" s="201">
        <f t="shared" si="6"/>
        <v>1</v>
      </c>
      <c r="I52" s="201">
        <f t="shared" si="7"/>
        <v>1</v>
      </c>
      <c r="J52" s="220"/>
      <c r="L52" s="203" t="s">
        <v>394</v>
      </c>
      <c r="M52" s="204">
        <v>65</v>
      </c>
      <c r="N52" s="204">
        <v>44</v>
      </c>
      <c r="O52" s="206">
        <v>161</v>
      </c>
    </row>
    <row r="53" spans="1:15" ht="30" x14ac:dyDescent="0.25">
      <c r="A53" s="226" t="s">
        <v>319</v>
      </c>
      <c r="B53" s="195">
        <v>58</v>
      </c>
      <c r="C53" s="195">
        <v>39</v>
      </c>
      <c r="D53" s="195">
        <v>159</v>
      </c>
      <c r="E53" s="26"/>
      <c r="F53" s="201">
        <f t="shared" si="4"/>
        <v>0</v>
      </c>
      <c r="G53" s="201">
        <f t="shared" si="5"/>
        <v>1</v>
      </c>
      <c r="H53" s="201">
        <f t="shared" si="6"/>
        <v>1</v>
      </c>
      <c r="I53" s="201">
        <f t="shared" si="7"/>
        <v>1</v>
      </c>
      <c r="J53" s="220" t="s">
        <v>593</v>
      </c>
      <c r="L53" s="203" t="s">
        <v>395</v>
      </c>
      <c r="M53" s="207">
        <v>46</v>
      </c>
      <c r="N53" s="207">
        <v>31</v>
      </c>
      <c r="O53" s="212">
        <v>78</v>
      </c>
    </row>
    <row r="54" spans="1:15" x14ac:dyDescent="0.25">
      <c r="A54" s="223" t="s">
        <v>187</v>
      </c>
      <c r="B54" s="195">
        <v>53</v>
      </c>
      <c r="C54" s="195">
        <v>36</v>
      </c>
      <c r="D54" s="195">
        <v>105</v>
      </c>
      <c r="E54" s="26"/>
      <c r="F54" s="201">
        <f t="shared" si="4"/>
        <v>0</v>
      </c>
      <c r="G54" s="201">
        <f t="shared" si="5"/>
        <v>0</v>
      </c>
      <c r="H54" s="201">
        <f t="shared" si="6"/>
        <v>0</v>
      </c>
      <c r="I54" s="201">
        <f t="shared" si="7"/>
        <v>0</v>
      </c>
      <c r="J54" s="220" t="s">
        <v>583</v>
      </c>
      <c r="L54" s="203" t="s">
        <v>396</v>
      </c>
      <c r="M54" s="204">
        <v>29</v>
      </c>
      <c r="N54" s="204">
        <v>20</v>
      </c>
      <c r="O54" s="205">
        <v>85</v>
      </c>
    </row>
    <row r="55" spans="1:15" ht="15.75" customHeight="1" x14ac:dyDescent="0.25">
      <c r="A55" s="223" t="s">
        <v>36</v>
      </c>
      <c r="B55" s="195">
        <v>64</v>
      </c>
      <c r="C55" s="195">
        <v>43</v>
      </c>
      <c r="D55" s="195">
        <v>263</v>
      </c>
      <c r="E55" s="26"/>
      <c r="F55" s="201">
        <f t="shared" si="4"/>
        <v>1</v>
      </c>
      <c r="G55" s="201">
        <f t="shared" si="5"/>
        <v>1</v>
      </c>
      <c r="H55" s="201">
        <f t="shared" si="6"/>
        <v>1</v>
      </c>
      <c r="I55" s="201">
        <f t="shared" si="7"/>
        <v>1</v>
      </c>
      <c r="J55" s="220"/>
      <c r="L55" s="203" t="s">
        <v>397</v>
      </c>
      <c r="M55" s="204">
        <v>32</v>
      </c>
      <c r="N55" s="204">
        <v>21</v>
      </c>
      <c r="O55" s="206">
        <v>183</v>
      </c>
    </row>
    <row r="56" spans="1:15" ht="15.75" customHeight="1" x14ac:dyDescent="0.25">
      <c r="A56" s="223" t="s">
        <v>37</v>
      </c>
      <c r="B56" s="195">
        <v>40</v>
      </c>
      <c r="C56" s="195">
        <v>27</v>
      </c>
      <c r="D56" s="195">
        <v>161</v>
      </c>
      <c r="E56" s="26"/>
      <c r="F56" s="201">
        <f t="shared" si="4"/>
        <v>1</v>
      </c>
      <c r="G56" s="201">
        <f t="shared" si="5"/>
        <v>1</v>
      </c>
      <c r="H56" s="201">
        <f t="shared" si="6"/>
        <v>1</v>
      </c>
      <c r="I56" s="201">
        <f t="shared" si="7"/>
        <v>1</v>
      </c>
      <c r="J56" s="220"/>
      <c r="L56" s="203" t="s">
        <v>398</v>
      </c>
      <c r="M56" s="204">
        <v>54</v>
      </c>
      <c r="N56" s="204">
        <v>36</v>
      </c>
      <c r="O56" s="206">
        <v>171</v>
      </c>
    </row>
    <row r="57" spans="1:15" ht="15.75" customHeight="1" x14ac:dyDescent="0.25">
      <c r="A57" s="223" t="s">
        <v>38</v>
      </c>
      <c r="B57" s="195">
        <v>45</v>
      </c>
      <c r="C57" s="195">
        <v>30</v>
      </c>
      <c r="D57" s="195">
        <v>87</v>
      </c>
      <c r="E57" s="26"/>
      <c r="F57" s="201">
        <f t="shared" si="4"/>
        <v>1</v>
      </c>
      <c r="G57" s="201">
        <f t="shared" si="5"/>
        <v>1</v>
      </c>
      <c r="H57" s="201">
        <f t="shared" si="6"/>
        <v>1</v>
      </c>
      <c r="I57" s="201">
        <f t="shared" si="7"/>
        <v>1</v>
      </c>
      <c r="J57" s="220"/>
      <c r="L57" s="203" t="s">
        <v>399</v>
      </c>
      <c r="M57" s="211"/>
      <c r="N57" s="211"/>
      <c r="O57" s="211"/>
    </row>
    <row r="58" spans="1:15" ht="15.75" customHeight="1" x14ac:dyDescent="0.25">
      <c r="A58" s="223" t="s">
        <v>39</v>
      </c>
      <c r="B58" s="195">
        <v>46</v>
      </c>
      <c r="C58" s="195">
        <v>31</v>
      </c>
      <c r="D58" s="195">
        <v>203</v>
      </c>
      <c r="E58" s="26"/>
      <c r="F58" s="201">
        <f t="shared" si="4"/>
        <v>1</v>
      </c>
      <c r="G58" s="201">
        <f t="shared" si="5"/>
        <v>1</v>
      </c>
      <c r="H58" s="201">
        <f t="shared" si="6"/>
        <v>1</v>
      </c>
      <c r="I58" s="201">
        <f t="shared" si="7"/>
        <v>1</v>
      </c>
      <c r="J58" s="220"/>
      <c r="L58" s="213" t="s">
        <v>400</v>
      </c>
      <c r="M58" s="204">
        <v>58</v>
      </c>
      <c r="N58" s="204">
        <v>39</v>
      </c>
      <c r="O58" s="206">
        <v>159</v>
      </c>
    </row>
    <row r="59" spans="1:15" ht="15.75" customHeight="1" x14ac:dyDescent="0.25">
      <c r="A59" s="223" t="s">
        <v>185</v>
      </c>
      <c r="B59" s="195">
        <v>40</v>
      </c>
      <c r="C59" s="195">
        <v>27</v>
      </c>
      <c r="D59" s="195">
        <v>139</v>
      </c>
      <c r="E59" s="26"/>
      <c r="F59" s="201">
        <f t="shared" si="4"/>
        <v>0</v>
      </c>
      <c r="G59" s="201">
        <f t="shared" si="5"/>
        <v>1</v>
      </c>
      <c r="H59" s="201">
        <f t="shared" si="6"/>
        <v>1</v>
      </c>
      <c r="I59" s="201">
        <f t="shared" si="7"/>
        <v>1</v>
      </c>
      <c r="J59" s="220" t="s">
        <v>594</v>
      </c>
      <c r="L59" s="203" t="s">
        <v>365</v>
      </c>
      <c r="M59" s="204">
        <v>53</v>
      </c>
      <c r="N59" s="204">
        <v>36</v>
      </c>
      <c r="O59" s="206">
        <v>105</v>
      </c>
    </row>
    <row r="60" spans="1:15" ht="15.75" customHeight="1" x14ac:dyDescent="0.25">
      <c r="A60" s="223" t="s">
        <v>186</v>
      </c>
      <c r="B60" s="195">
        <v>36</v>
      </c>
      <c r="C60" s="195">
        <v>24</v>
      </c>
      <c r="D60" s="195">
        <v>150</v>
      </c>
      <c r="E60" s="26"/>
      <c r="F60" s="201">
        <f t="shared" si="4"/>
        <v>0</v>
      </c>
      <c r="G60" s="201">
        <f t="shared" si="5"/>
        <v>0</v>
      </c>
      <c r="H60" s="201">
        <f t="shared" si="6"/>
        <v>0</v>
      </c>
      <c r="I60" s="201">
        <f t="shared" si="7"/>
        <v>0</v>
      </c>
      <c r="J60" s="220" t="s">
        <v>583</v>
      </c>
      <c r="L60" s="203" t="s">
        <v>401</v>
      </c>
      <c r="M60" s="207">
        <v>64</v>
      </c>
      <c r="N60" s="207">
        <v>43</v>
      </c>
      <c r="O60" s="208">
        <v>263</v>
      </c>
    </row>
    <row r="61" spans="1:15" ht="15.75" customHeight="1" x14ac:dyDescent="0.25">
      <c r="A61" s="223" t="s">
        <v>40</v>
      </c>
      <c r="B61" s="195">
        <v>46</v>
      </c>
      <c r="C61" s="195">
        <v>31</v>
      </c>
      <c r="D61" s="195">
        <v>124</v>
      </c>
      <c r="E61" s="26"/>
      <c r="F61" s="201">
        <f t="shared" si="4"/>
        <v>1</v>
      </c>
      <c r="G61" s="201">
        <f t="shared" si="5"/>
        <v>1</v>
      </c>
      <c r="H61" s="201">
        <f t="shared" si="6"/>
        <v>1</v>
      </c>
      <c r="I61" s="201">
        <f t="shared" si="7"/>
        <v>1</v>
      </c>
      <c r="J61" s="220"/>
      <c r="L61" s="203" t="s">
        <v>402</v>
      </c>
      <c r="M61" s="204">
        <v>40</v>
      </c>
      <c r="N61" s="204">
        <v>27</v>
      </c>
      <c r="O61" s="206">
        <v>161</v>
      </c>
    </row>
    <row r="62" spans="1:15" ht="15.75" customHeight="1" x14ac:dyDescent="0.25">
      <c r="A62" s="223" t="s">
        <v>41</v>
      </c>
      <c r="B62" s="195">
        <v>59</v>
      </c>
      <c r="C62" s="195">
        <v>40</v>
      </c>
      <c r="D62" s="195">
        <v>140</v>
      </c>
      <c r="E62" s="26"/>
      <c r="F62" s="201">
        <f t="shared" si="4"/>
        <v>1</v>
      </c>
      <c r="G62" s="201">
        <f t="shared" si="5"/>
        <v>1</v>
      </c>
      <c r="H62" s="201">
        <f t="shared" si="6"/>
        <v>1</v>
      </c>
      <c r="I62" s="201">
        <f t="shared" si="7"/>
        <v>1</v>
      </c>
      <c r="J62" s="220"/>
      <c r="L62" s="203" t="s">
        <v>403</v>
      </c>
      <c r="M62" s="204">
        <v>45</v>
      </c>
      <c r="N62" s="204">
        <v>30</v>
      </c>
      <c r="O62" s="205">
        <v>87</v>
      </c>
    </row>
    <row r="63" spans="1:15" ht="15.75" customHeight="1" x14ac:dyDescent="0.25">
      <c r="A63" s="223" t="s">
        <v>42</v>
      </c>
      <c r="B63" s="195">
        <v>32</v>
      </c>
      <c r="C63" s="195">
        <v>21</v>
      </c>
      <c r="D63" s="195">
        <v>113</v>
      </c>
      <c r="E63" s="26"/>
      <c r="F63" s="201">
        <f t="shared" si="4"/>
        <v>1</v>
      </c>
      <c r="G63" s="201">
        <f t="shared" si="5"/>
        <v>1</v>
      </c>
      <c r="H63" s="201">
        <f t="shared" si="6"/>
        <v>1</v>
      </c>
      <c r="I63" s="201">
        <f t="shared" si="7"/>
        <v>1</v>
      </c>
      <c r="J63" s="220"/>
      <c r="L63" s="203" t="s">
        <v>404</v>
      </c>
      <c r="M63" s="204">
        <v>46</v>
      </c>
      <c r="N63" s="204">
        <v>31</v>
      </c>
      <c r="O63" s="208">
        <v>203</v>
      </c>
    </row>
    <row r="64" spans="1:15" ht="15.75" customHeight="1" x14ac:dyDescent="0.25">
      <c r="A64" s="223" t="s">
        <v>43</v>
      </c>
      <c r="B64" s="195">
        <v>58</v>
      </c>
      <c r="C64" s="195">
        <v>39</v>
      </c>
      <c r="D64" s="195">
        <v>130</v>
      </c>
      <c r="E64" s="26"/>
      <c r="F64" s="201">
        <f t="shared" si="4"/>
        <v>1</v>
      </c>
      <c r="G64" s="201">
        <f t="shared" si="5"/>
        <v>1</v>
      </c>
      <c r="H64" s="201">
        <f t="shared" si="6"/>
        <v>1</v>
      </c>
      <c r="I64" s="201">
        <f t="shared" si="7"/>
        <v>1</v>
      </c>
      <c r="J64" s="220"/>
      <c r="L64" s="203" t="s">
        <v>405</v>
      </c>
      <c r="M64" s="211"/>
      <c r="N64" s="211"/>
      <c r="O64" s="211"/>
    </row>
    <row r="65" spans="1:15" ht="15.75" customHeight="1" x14ac:dyDescent="0.25">
      <c r="A65" s="223" t="s">
        <v>44</v>
      </c>
      <c r="B65" s="195">
        <v>57</v>
      </c>
      <c r="C65" s="195">
        <v>38</v>
      </c>
      <c r="D65" s="195">
        <v>198</v>
      </c>
      <c r="E65" s="26"/>
      <c r="F65" s="201">
        <f t="shared" si="4"/>
        <v>1</v>
      </c>
      <c r="G65" s="201">
        <f t="shared" si="5"/>
        <v>1</v>
      </c>
      <c r="H65" s="201">
        <f t="shared" si="6"/>
        <v>1</v>
      </c>
      <c r="I65" s="201">
        <f t="shared" si="7"/>
        <v>1</v>
      </c>
      <c r="J65" s="220"/>
      <c r="L65" s="203" t="s">
        <v>406</v>
      </c>
      <c r="M65" s="204">
        <v>40</v>
      </c>
      <c r="N65" s="204">
        <v>27</v>
      </c>
      <c r="O65" s="206">
        <v>139</v>
      </c>
    </row>
    <row r="66" spans="1:15" ht="15.75" customHeight="1" x14ac:dyDescent="0.25">
      <c r="A66" s="223" t="s">
        <v>202</v>
      </c>
      <c r="B66" s="195">
        <v>42</v>
      </c>
      <c r="C66" s="195">
        <v>28</v>
      </c>
      <c r="D66" s="195">
        <v>155</v>
      </c>
      <c r="E66" s="26"/>
      <c r="F66" s="201">
        <f t="shared" si="4"/>
        <v>0</v>
      </c>
      <c r="G66" s="201">
        <f t="shared" si="5"/>
        <v>1</v>
      </c>
      <c r="H66" s="201">
        <f t="shared" si="6"/>
        <v>1</v>
      </c>
      <c r="I66" s="201">
        <f t="shared" si="7"/>
        <v>1</v>
      </c>
      <c r="J66" s="220" t="s">
        <v>595</v>
      </c>
      <c r="L66" s="203" t="s">
        <v>365</v>
      </c>
      <c r="M66" s="204">
        <v>36</v>
      </c>
      <c r="N66" s="204">
        <v>24</v>
      </c>
      <c r="O66" s="206">
        <v>150</v>
      </c>
    </row>
    <row r="67" spans="1:15" ht="15.75" customHeight="1" x14ac:dyDescent="0.25">
      <c r="A67" s="226" t="s">
        <v>320</v>
      </c>
      <c r="B67" s="195">
        <v>22</v>
      </c>
      <c r="C67" s="195">
        <v>15</v>
      </c>
      <c r="D67" s="195">
        <v>80</v>
      </c>
      <c r="E67" s="26"/>
      <c r="F67" s="201">
        <f t="shared" si="4"/>
        <v>0</v>
      </c>
      <c r="G67" s="201">
        <f t="shared" si="5"/>
        <v>1</v>
      </c>
      <c r="H67" s="201">
        <f t="shared" si="6"/>
        <v>1</v>
      </c>
      <c r="I67" s="201">
        <f t="shared" si="7"/>
        <v>1</v>
      </c>
      <c r="J67" s="220" t="s">
        <v>596</v>
      </c>
      <c r="L67" s="203" t="s">
        <v>407</v>
      </c>
      <c r="M67" s="207">
        <v>46</v>
      </c>
      <c r="N67" s="207">
        <v>31</v>
      </c>
      <c r="O67" s="208">
        <v>124</v>
      </c>
    </row>
    <row r="68" spans="1:15" ht="15.75" customHeight="1" x14ac:dyDescent="0.25">
      <c r="A68" s="226" t="s">
        <v>321</v>
      </c>
      <c r="B68" s="195">
        <v>32</v>
      </c>
      <c r="C68" s="195">
        <v>21</v>
      </c>
      <c r="D68" s="195">
        <v>167</v>
      </c>
      <c r="E68" s="26"/>
      <c r="F68" s="201">
        <f t="shared" si="4"/>
        <v>0</v>
      </c>
      <c r="G68" s="201">
        <f t="shared" si="5"/>
        <v>1</v>
      </c>
      <c r="H68" s="201">
        <f t="shared" si="6"/>
        <v>1</v>
      </c>
      <c r="I68" s="201">
        <f t="shared" si="7"/>
        <v>1</v>
      </c>
      <c r="J68" s="220" t="s">
        <v>597</v>
      </c>
      <c r="L68" s="203" t="s">
        <v>408</v>
      </c>
      <c r="M68" s="204">
        <v>59</v>
      </c>
      <c r="N68" s="204">
        <v>40</v>
      </c>
      <c r="O68" s="206">
        <v>140</v>
      </c>
    </row>
    <row r="69" spans="1:15" ht="15.75" customHeight="1" x14ac:dyDescent="0.25">
      <c r="A69" s="226" t="s">
        <v>322</v>
      </c>
      <c r="B69" s="195">
        <v>53</v>
      </c>
      <c r="C69" s="195">
        <v>36</v>
      </c>
      <c r="D69" s="195">
        <v>218</v>
      </c>
      <c r="E69" s="26"/>
      <c r="F69" s="201">
        <f t="shared" si="4"/>
        <v>0</v>
      </c>
      <c r="G69" s="201">
        <f t="shared" si="5"/>
        <v>1</v>
      </c>
      <c r="H69" s="201">
        <f t="shared" si="6"/>
        <v>1</v>
      </c>
      <c r="I69" s="201">
        <f t="shared" si="7"/>
        <v>1</v>
      </c>
      <c r="J69" s="220" t="s">
        <v>598</v>
      </c>
      <c r="L69" s="203" t="s">
        <v>409</v>
      </c>
      <c r="M69" s="204">
        <v>32</v>
      </c>
      <c r="N69" s="204">
        <v>21</v>
      </c>
      <c r="O69" s="206">
        <v>113</v>
      </c>
    </row>
    <row r="70" spans="1:15" ht="15.75" customHeight="1" x14ac:dyDescent="0.25">
      <c r="A70" s="223" t="s">
        <v>183</v>
      </c>
      <c r="B70" s="195">
        <v>46</v>
      </c>
      <c r="C70" s="195">
        <v>31</v>
      </c>
      <c r="D70" s="195">
        <v>211</v>
      </c>
      <c r="E70" s="26"/>
      <c r="F70" s="201">
        <f t="shared" si="4"/>
        <v>0</v>
      </c>
      <c r="G70" s="201">
        <f t="shared" si="5"/>
        <v>1</v>
      </c>
      <c r="H70" s="201">
        <f t="shared" si="6"/>
        <v>1</v>
      </c>
      <c r="I70" s="201">
        <f t="shared" si="7"/>
        <v>1</v>
      </c>
      <c r="J70" s="220" t="s">
        <v>599</v>
      </c>
      <c r="L70" s="203" t="s">
        <v>410</v>
      </c>
      <c r="M70" s="204">
        <v>58</v>
      </c>
      <c r="N70" s="204">
        <v>39</v>
      </c>
      <c r="O70" s="206">
        <v>130</v>
      </c>
    </row>
    <row r="71" spans="1:15" ht="15.75" customHeight="1" x14ac:dyDescent="0.25">
      <c r="A71" s="223" t="s">
        <v>184</v>
      </c>
      <c r="B71" s="195">
        <v>22</v>
      </c>
      <c r="C71" s="195">
        <v>15</v>
      </c>
      <c r="D71" s="195">
        <v>80</v>
      </c>
      <c r="E71" s="26"/>
      <c r="F71" s="201">
        <f t="shared" si="4"/>
        <v>0</v>
      </c>
      <c r="G71" s="201">
        <f t="shared" si="5"/>
        <v>0</v>
      </c>
      <c r="H71" s="201">
        <f t="shared" si="6"/>
        <v>0</v>
      </c>
      <c r="I71" s="201">
        <f t="shared" si="7"/>
        <v>0</v>
      </c>
      <c r="J71" s="220" t="s">
        <v>583</v>
      </c>
      <c r="L71" s="203" t="s">
        <v>411</v>
      </c>
      <c r="M71" s="204">
        <v>57</v>
      </c>
      <c r="N71" s="204">
        <v>38</v>
      </c>
      <c r="O71" s="206">
        <v>198</v>
      </c>
    </row>
    <row r="72" spans="1:15" ht="15.75" customHeight="1" x14ac:dyDescent="0.25">
      <c r="A72" s="223" t="s">
        <v>45</v>
      </c>
      <c r="B72" s="195">
        <v>45</v>
      </c>
      <c r="C72" s="195">
        <v>30</v>
      </c>
      <c r="D72" s="195">
        <v>179</v>
      </c>
      <c r="E72" s="26"/>
      <c r="F72" s="201">
        <f t="shared" si="4"/>
        <v>1</v>
      </c>
      <c r="G72" s="201">
        <f t="shared" si="5"/>
        <v>1</v>
      </c>
      <c r="H72" s="201">
        <f t="shared" si="6"/>
        <v>1</v>
      </c>
      <c r="I72" s="201">
        <f t="shared" si="7"/>
        <v>1</v>
      </c>
      <c r="J72" s="220"/>
      <c r="L72" s="203" t="s">
        <v>412</v>
      </c>
      <c r="M72" s="211"/>
      <c r="N72" s="211"/>
      <c r="O72" s="211"/>
    </row>
    <row r="73" spans="1:15" ht="15.75" customHeight="1" x14ac:dyDescent="0.25">
      <c r="A73" s="224" t="s">
        <v>574</v>
      </c>
      <c r="B73" s="195">
        <v>33</v>
      </c>
      <c r="C73" s="195">
        <v>22</v>
      </c>
      <c r="D73" s="195">
        <v>196</v>
      </c>
      <c r="E73" s="26"/>
      <c r="F73" s="201">
        <f t="shared" si="4"/>
        <v>1</v>
      </c>
      <c r="G73" s="201">
        <f t="shared" si="5"/>
        <v>1</v>
      </c>
      <c r="H73" s="201">
        <f t="shared" si="6"/>
        <v>1</v>
      </c>
      <c r="I73" s="201">
        <f t="shared" si="7"/>
        <v>1</v>
      </c>
      <c r="J73" s="220"/>
      <c r="L73" s="209" t="s">
        <v>413</v>
      </c>
      <c r="M73" s="207">
        <v>42</v>
      </c>
      <c r="N73" s="207">
        <v>28</v>
      </c>
      <c r="O73" s="208">
        <v>155</v>
      </c>
    </row>
    <row r="74" spans="1:15" ht="15.75" customHeight="1" x14ac:dyDescent="0.25">
      <c r="A74" s="223" t="s">
        <v>46</v>
      </c>
      <c r="B74" s="195">
        <v>58</v>
      </c>
      <c r="C74" s="195">
        <v>39</v>
      </c>
      <c r="D74" s="195">
        <v>129</v>
      </c>
      <c r="E74" s="26"/>
      <c r="F74" s="201">
        <f t="shared" si="4"/>
        <v>1</v>
      </c>
      <c r="G74" s="201">
        <f t="shared" si="5"/>
        <v>1</v>
      </c>
      <c r="H74" s="201">
        <f t="shared" si="6"/>
        <v>1</v>
      </c>
      <c r="I74" s="201">
        <f t="shared" si="7"/>
        <v>1</v>
      </c>
      <c r="J74" s="220"/>
      <c r="L74" s="203" t="s">
        <v>414</v>
      </c>
      <c r="M74" s="207">
        <v>22</v>
      </c>
      <c r="N74" s="207">
        <v>15</v>
      </c>
      <c r="O74" s="212">
        <v>80</v>
      </c>
    </row>
    <row r="75" spans="1:15" ht="15.75" customHeight="1" x14ac:dyDescent="0.25">
      <c r="A75" s="223" t="s">
        <v>47</v>
      </c>
      <c r="B75" s="195">
        <v>62</v>
      </c>
      <c r="C75" s="195">
        <v>41</v>
      </c>
      <c r="D75" s="195">
        <v>187</v>
      </c>
      <c r="E75" s="26"/>
      <c r="F75" s="201">
        <f t="shared" si="4"/>
        <v>1</v>
      </c>
      <c r="G75" s="201">
        <f t="shared" si="5"/>
        <v>1</v>
      </c>
      <c r="H75" s="201">
        <f t="shared" si="6"/>
        <v>1</v>
      </c>
      <c r="I75" s="201">
        <f t="shared" si="7"/>
        <v>1</v>
      </c>
      <c r="J75" s="220"/>
      <c r="L75" s="203" t="s">
        <v>415</v>
      </c>
      <c r="M75" s="207">
        <v>32</v>
      </c>
      <c r="N75" s="207">
        <v>21</v>
      </c>
      <c r="O75" s="208">
        <v>167</v>
      </c>
    </row>
    <row r="76" spans="1:15" ht="15.75" customHeight="1" x14ac:dyDescent="0.25">
      <c r="A76" s="223" t="s">
        <v>48</v>
      </c>
      <c r="B76" s="195">
        <v>66</v>
      </c>
      <c r="C76" s="195">
        <v>44</v>
      </c>
      <c r="D76" s="195">
        <v>190</v>
      </c>
      <c r="E76" s="26"/>
      <c r="F76" s="201">
        <f t="shared" si="4"/>
        <v>1</v>
      </c>
      <c r="G76" s="201">
        <f t="shared" si="5"/>
        <v>1</v>
      </c>
      <c r="H76" s="201">
        <f t="shared" si="6"/>
        <v>1</v>
      </c>
      <c r="I76" s="201">
        <f t="shared" si="7"/>
        <v>1</v>
      </c>
      <c r="J76" s="220"/>
      <c r="L76" s="203" t="s">
        <v>416</v>
      </c>
      <c r="M76" s="207">
        <v>53</v>
      </c>
      <c r="N76" s="207">
        <v>36</v>
      </c>
      <c r="O76" s="208">
        <v>218</v>
      </c>
    </row>
    <row r="77" spans="1:15" ht="15.75" customHeight="1" x14ac:dyDescent="0.25">
      <c r="A77" s="223" t="s">
        <v>181</v>
      </c>
      <c r="B77" s="195">
        <v>42</v>
      </c>
      <c r="C77" s="195">
        <v>28</v>
      </c>
      <c r="D77" s="195">
        <v>191</v>
      </c>
      <c r="E77" s="26"/>
      <c r="F77" s="201">
        <f t="shared" si="4"/>
        <v>0</v>
      </c>
      <c r="G77" s="201">
        <f t="shared" si="5"/>
        <v>1</v>
      </c>
      <c r="H77" s="201">
        <f t="shared" si="6"/>
        <v>1</v>
      </c>
      <c r="I77" s="201">
        <f t="shared" si="7"/>
        <v>1</v>
      </c>
      <c r="J77" s="220" t="s">
        <v>600</v>
      </c>
      <c r="L77" s="203" t="s">
        <v>417</v>
      </c>
      <c r="M77" s="207">
        <v>46</v>
      </c>
      <c r="N77" s="207">
        <v>31</v>
      </c>
      <c r="O77" s="208">
        <v>211</v>
      </c>
    </row>
    <row r="78" spans="1:15" ht="15.75" customHeight="1" x14ac:dyDescent="0.25">
      <c r="A78" s="223" t="s">
        <v>180</v>
      </c>
      <c r="B78" s="195">
        <v>48</v>
      </c>
      <c r="C78" s="195">
        <v>32</v>
      </c>
      <c r="D78" s="195">
        <v>150</v>
      </c>
      <c r="E78" s="26"/>
      <c r="F78" s="201">
        <f t="shared" si="4"/>
        <v>0</v>
      </c>
      <c r="G78" s="201">
        <f t="shared" si="5"/>
        <v>1</v>
      </c>
      <c r="H78" s="201">
        <f t="shared" si="6"/>
        <v>1</v>
      </c>
      <c r="I78" s="201">
        <f t="shared" si="7"/>
        <v>1</v>
      </c>
      <c r="J78" s="220" t="s">
        <v>601</v>
      </c>
      <c r="L78" s="203" t="s">
        <v>365</v>
      </c>
      <c r="M78" s="207">
        <v>22</v>
      </c>
      <c r="N78" s="207">
        <v>15</v>
      </c>
      <c r="O78" s="212">
        <v>80</v>
      </c>
    </row>
    <row r="79" spans="1:15" ht="15.75" customHeight="1" x14ac:dyDescent="0.25">
      <c r="A79" s="223" t="s">
        <v>182</v>
      </c>
      <c r="B79" s="195">
        <v>42</v>
      </c>
      <c r="C79" s="195">
        <v>28</v>
      </c>
      <c r="D79" s="195">
        <v>150</v>
      </c>
      <c r="E79" s="26"/>
      <c r="F79" s="201">
        <f t="shared" si="4"/>
        <v>0</v>
      </c>
      <c r="G79" s="201">
        <f t="shared" si="5"/>
        <v>0</v>
      </c>
      <c r="H79" s="201">
        <f t="shared" si="6"/>
        <v>0</v>
      </c>
      <c r="I79" s="201">
        <f t="shared" si="7"/>
        <v>0</v>
      </c>
      <c r="J79" s="220" t="s">
        <v>583</v>
      </c>
      <c r="L79" s="203" t="s">
        <v>418</v>
      </c>
      <c r="M79" s="207">
        <v>45</v>
      </c>
      <c r="N79" s="207">
        <v>30</v>
      </c>
      <c r="O79" s="208">
        <v>179</v>
      </c>
    </row>
    <row r="80" spans="1:15" ht="15.75" customHeight="1" x14ac:dyDescent="0.25">
      <c r="A80" s="223" t="s">
        <v>49</v>
      </c>
      <c r="B80" s="195">
        <v>39</v>
      </c>
      <c r="C80" s="195">
        <v>26</v>
      </c>
      <c r="D80" s="195">
        <v>171</v>
      </c>
      <c r="E80" s="26"/>
      <c r="F80" s="201">
        <f t="shared" si="4"/>
        <v>1</v>
      </c>
      <c r="G80" s="201">
        <f t="shared" si="5"/>
        <v>1</v>
      </c>
      <c r="H80" s="201">
        <f t="shared" si="6"/>
        <v>1</v>
      </c>
      <c r="I80" s="201">
        <f t="shared" si="7"/>
        <v>1</v>
      </c>
      <c r="J80" s="220"/>
      <c r="L80" s="203" t="s">
        <v>419</v>
      </c>
      <c r="M80" s="204">
        <v>33</v>
      </c>
      <c r="N80" s="204">
        <v>22</v>
      </c>
      <c r="O80" s="206">
        <v>196</v>
      </c>
    </row>
    <row r="81" spans="1:15" ht="15.75" customHeight="1" x14ac:dyDescent="0.25">
      <c r="A81" s="223" t="s">
        <v>178</v>
      </c>
      <c r="B81" s="195">
        <v>50</v>
      </c>
      <c r="C81" s="195">
        <v>33</v>
      </c>
      <c r="D81" s="195">
        <v>285</v>
      </c>
      <c r="E81" s="26"/>
      <c r="F81" s="201">
        <f t="shared" si="4"/>
        <v>0</v>
      </c>
      <c r="G81" s="201">
        <f t="shared" si="5"/>
        <v>1</v>
      </c>
      <c r="H81" s="201">
        <f t="shared" si="6"/>
        <v>1</v>
      </c>
      <c r="I81" s="201">
        <f t="shared" si="7"/>
        <v>1</v>
      </c>
      <c r="J81" s="220" t="s">
        <v>609</v>
      </c>
      <c r="L81" s="203" t="s">
        <v>420</v>
      </c>
      <c r="M81" s="204">
        <v>58</v>
      </c>
      <c r="N81" s="204">
        <v>39</v>
      </c>
      <c r="O81" s="206">
        <v>129</v>
      </c>
    </row>
    <row r="82" spans="1:15" ht="15.75" customHeight="1" x14ac:dyDescent="0.25">
      <c r="A82" s="224" t="s">
        <v>608</v>
      </c>
      <c r="B82" s="195">
        <v>33</v>
      </c>
      <c r="C82" s="195">
        <v>22</v>
      </c>
      <c r="D82" s="195">
        <v>141</v>
      </c>
      <c r="E82" s="26"/>
      <c r="F82" s="201">
        <f t="shared" si="4"/>
        <v>0</v>
      </c>
      <c r="G82" s="201">
        <f t="shared" si="5"/>
        <v>1</v>
      </c>
      <c r="H82" s="201">
        <f t="shared" si="6"/>
        <v>1</v>
      </c>
      <c r="I82" s="201">
        <f t="shared" si="7"/>
        <v>1</v>
      </c>
      <c r="J82" s="220" t="s">
        <v>610</v>
      </c>
      <c r="L82" s="203" t="s">
        <v>421</v>
      </c>
      <c r="M82" s="204">
        <v>62</v>
      </c>
      <c r="N82" s="204">
        <v>41</v>
      </c>
      <c r="O82" s="206">
        <v>187</v>
      </c>
    </row>
    <row r="83" spans="1:15" ht="15.75" customHeight="1" x14ac:dyDescent="0.25">
      <c r="A83" s="223" t="s">
        <v>179</v>
      </c>
      <c r="B83" s="195">
        <v>33</v>
      </c>
      <c r="C83" s="195">
        <v>22</v>
      </c>
      <c r="D83" s="195">
        <v>141</v>
      </c>
      <c r="E83" s="26"/>
      <c r="F83" s="201">
        <f t="shared" si="4"/>
        <v>0</v>
      </c>
      <c r="G83" s="201">
        <f t="shared" si="5"/>
        <v>0</v>
      </c>
      <c r="H83" s="201">
        <f t="shared" si="6"/>
        <v>0</v>
      </c>
      <c r="I83" s="201">
        <f t="shared" si="7"/>
        <v>0</v>
      </c>
      <c r="J83" s="220"/>
      <c r="L83" s="203" t="s">
        <v>422</v>
      </c>
      <c r="M83" s="204">
        <v>66</v>
      </c>
      <c r="N83" s="204">
        <v>44</v>
      </c>
      <c r="O83" s="206">
        <v>190</v>
      </c>
    </row>
    <row r="84" spans="1:15" ht="15.75" customHeight="1" x14ac:dyDescent="0.25">
      <c r="A84" s="223" t="s">
        <v>50</v>
      </c>
      <c r="B84" s="195">
        <v>24</v>
      </c>
      <c r="C84" s="195">
        <v>16</v>
      </c>
      <c r="D84" s="195">
        <v>95</v>
      </c>
      <c r="E84" s="26"/>
      <c r="F84" s="201">
        <f t="shared" si="4"/>
        <v>1</v>
      </c>
      <c r="G84" s="201">
        <f t="shared" si="5"/>
        <v>1</v>
      </c>
      <c r="H84" s="201">
        <f t="shared" si="6"/>
        <v>1</v>
      </c>
      <c r="I84" s="201">
        <f t="shared" si="7"/>
        <v>1</v>
      </c>
      <c r="J84" s="220"/>
      <c r="L84" s="203" t="s">
        <v>423</v>
      </c>
      <c r="M84" s="211"/>
      <c r="N84" s="211"/>
      <c r="O84" s="211"/>
    </row>
    <row r="85" spans="1:15" ht="15.75" customHeight="1" x14ac:dyDescent="0.25">
      <c r="A85" s="223" t="s">
        <v>51</v>
      </c>
      <c r="B85" s="195">
        <v>57</v>
      </c>
      <c r="C85" s="195">
        <v>38</v>
      </c>
      <c r="D85" s="195">
        <v>134</v>
      </c>
      <c r="E85" s="26"/>
      <c r="F85" s="201">
        <f t="shared" si="4"/>
        <v>1</v>
      </c>
      <c r="G85" s="201">
        <f t="shared" si="5"/>
        <v>1</v>
      </c>
      <c r="H85" s="201">
        <f t="shared" si="6"/>
        <v>1</v>
      </c>
      <c r="I85" s="201">
        <f t="shared" si="7"/>
        <v>1</v>
      </c>
      <c r="J85" s="220"/>
      <c r="L85" s="203" t="s">
        <v>424</v>
      </c>
      <c r="M85" s="204">
        <v>42</v>
      </c>
      <c r="N85" s="204">
        <v>28</v>
      </c>
      <c r="O85" s="206">
        <v>191</v>
      </c>
    </row>
    <row r="86" spans="1:15" ht="15.75" customHeight="1" x14ac:dyDescent="0.25">
      <c r="A86" s="223" t="s">
        <v>52</v>
      </c>
      <c r="B86" s="195">
        <v>42</v>
      </c>
      <c r="C86" s="195">
        <v>28</v>
      </c>
      <c r="D86" s="195">
        <v>108</v>
      </c>
      <c r="E86" s="26"/>
      <c r="F86" s="201">
        <f t="shared" si="4"/>
        <v>1</v>
      </c>
      <c r="G86" s="201">
        <f t="shared" si="5"/>
        <v>1</v>
      </c>
      <c r="H86" s="201">
        <f t="shared" si="6"/>
        <v>1</v>
      </c>
      <c r="I86" s="201">
        <f t="shared" si="7"/>
        <v>1</v>
      </c>
      <c r="J86" s="220"/>
      <c r="L86" s="203" t="s">
        <v>425</v>
      </c>
      <c r="M86" s="204">
        <v>48</v>
      </c>
      <c r="N86" s="204">
        <v>32</v>
      </c>
      <c r="O86" s="206">
        <v>150</v>
      </c>
    </row>
    <row r="87" spans="1:15" ht="15.75" customHeight="1" x14ac:dyDescent="0.25">
      <c r="A87" s="223" t="s">
        <v>53</v>
      </c>
      <c r="B87" s="195">
        <v>56</v>
      </c>
      <c r="C87" s="195">
        <v>37</v>
      </c>
      <c r="D87" s="195">
        <v>275</v>
      </c>
      <c r="E87" s="26"/>
      <c r="F87" s="201">
        <f t="shared" si="4"/>
        <v>1</v>
      </c>
      <c r="G87" s="201">
        <f t="shared" si="5"/>
        <v>1</v>
      </c>
      <c r="H87" s="201">
        <f t="shared" si="6"/>
        <v>1</v>
      </c>
      <c r="I87" s="201">
        <f t="shared" si="7"/>
        <v>1</v>
      </c>
      <c r="J87" s="220"/>
      <c r="L87" s="203" t="s">
        <v>365</v>
      </c>
      <c r="M87" s="204">
        <v>42</v>
      </c>
      <c r="N87" s="204">
        <v>28</v>
      </c>
      <c r="O87" s="206">
        <v>150</v>
      </c>
    </row>
    <row r="88" spans="1:15" ht="15.75" customHeight="1" x14ac:dyDescent="0.25">
      <c r="A88" s="223" t="s">
        <v>176</v>
      </c>
      <c r="B88" s="195">
        <v>62</v>
      </c>
      <c r="C88" s="195">
        <v>41</v>
      </c>
      <c r="D88" s="195">
        <v>214</v>
      </c>
      <c r="E88" s="26"/>
      <c r="F88" s="201">
        <f t="shared" si="4"/>
        <v>0</v>
      </c>
      <c r="G88" s="201">
        <f t="shared" si="5"/>
        <v>1</v>
      </c>
      <c r="H88" s="201">
        <f t="shared" si="6"/>
        <v>1</v>
      </c>
      <c r="I88" s="201">
        <f t="shared" si="7"/>
        <v>1</v>
      </c>
      <c r="J88" s="220" t="s">
        <v>618</v>
      </c>
      <c r="L88" s="203" t="s">
        <v>426</v>
      </c>
      <c r="M88" s="204">
        <v>39</v>
      </c>
      <c r="N88" s="204">
        <v>26</v>
      </c>
      <c r="O88" s="206">
        <v>171</v>
      </c>
    </row>
    <row r="89" spans="1:15" ht="15.75" customHeight="1" x14ac:dyDescent="0.25">
      <c r="A89" s="223" t="s">
        <v>175</v>
      </c>
      <c r="B89" s="195">
        <v>54</v>
      </c>
      <c r="C89" s="195">
        <v>36</v>
      </c>
      <c r="D89" s="195">
        <v>392</v>
      </c>
      <c r="E89" s="26"/>
      <c r="F89" s="201">
        <f t="shared" ref="F89:F150" si="8">_xlfn.IFNA(IF(VLOOKUP(IF(J89="",A89,J89),$L$3:$O$330,1,FALSE)=A89,1,0),0)</f>
        <v>0</v>
      </c>
      <c r="G89" s="201">
        <f t="shared" ref="G89:G150" si="9">_xlfn.IFNA(IF(VLOOKUP(IF(J89="",A89,J89),$L$3:$O$330,2,FALSE)=B89,1,0),0)</f>
        <v>1</v>
      </c>
      <c r="H89" s="201">
        <f t="shared" ref="H89:H150" si="10">_xlfn.IFNA(IF(VLOOKUP(IF(J89="",A89,J89),$L$3:$O$330,3,FALSE)=C89,1,0),0)</f>
        <v>1</v>
      </c>
      <c r="I89" s="201">
        <f t="shared" ref="I89:I150" si="11">_xlfn.IFNA(IF(VLOOKUP(IF(J89="",A89,J89),$L$3:$O$330,4,FALSE)=D89,1,0),0)</f>
        <v>1</v>
      </c>
      <c r="J89" s="220" t="s">
        <v>619</v>
      </c>
      <c r="L89" s="203" t="s">
        <v>427</v>
      </c>
      <c r="M89" s="211"/>
      <c r="N89" s="211"/>
      <c r="O89" s="211"/>
    </row>
    <row r="90" spans="1:15" ht="15.75" customHeight="1" x14ac:dyDescent="0.25">
      <c r="A90" s="223" t="s">
        <v>174</v>
      </c>
      <c r="B90" s="195">
        <v>63</v>
      </c>
      <c r="C90" s="195">
        <v>42</v>
      </c>
      <c r="D90" s="195">
        <v>304</v>
      </c>
      <c r="E90" s="26"/>
      <c r="F90" s="201">
        <f t="shared" si="8"/>
        <v>0</v>
      </c>
      <c r="G90" s="201">
        <f t="shared" si="9"/>
        <v>1</v>
      </c>
      <c r="H90" s="201">
        <f t="shared" si="10"/>
        <v>1</v>
      </c>
      <c r="I90" s="201">
        <f t="shared" si="11"/>
        <v>1</v>
      </c>
      <c r="J90" s="220" t="s">
        <v>620</v>
      </c>
      <c r="L90" s="203" t="s">
        <v>428</v>
      </c>
      <c r="M90" s="204">
        <v>50</v>
      </c>
      <c r="N90" s="204">
        <v>33</v>
      </c>
      <c r="O90" s="206">
        <v>285</v>
      </c>
    </row>
    <row r="91" spans="1:15" ht="15.75" customHeight="1" x14ac:dyDescent="0.25">
      <c r="A91" s="223" t="s">
        <v>177</v>
      </c>
      <c r="B91" s="195">
        <v>54</v>
      </c>
      <c r="C91" s="195">
        <v>36</v>
      </c>
      <c r="D91" s="195">
        <v>214</v>
      </c>
      <c r="E91" s="26"/>
      <c r="F91" s="201">
        <f t="shared" si="8"/>
        <v>0</v>
      </c>
      <c r="G91" s="201">
        <f t="shared" si="9"/>
        <v>0</v>
      </c>
      <c r="H91" s="201">
        <f t="shared" si="10"/>
        <v>0</v>
      </c>
      <c r="I91" s="201">
        <f t="shared" si="11"/>
        <v>0</v>
      </c>
      <c r="J91" s="220" t="s">
        <v>583</v>
      </c>
      <c r="L91" s="209" t="s">
        <v>429</v>
      </c>
      <c r="M91" s="207">
        <v>33</v>
      </c>
      <c r="N91" s="207">
        <v>22</v>
      </c>
      <c r="O91" s="208">
        <v>141</v>
      </c>
    </row>
    <row r="92" spans="1:15" ht="15.75" customHeight="1" x14ac:dyDescent="0.25">
      <c r="A92" s="223" t="s">
        <v>54</v>
      </c>
      <c r="B92" s="195">
        <v>38</v>
      </c>
      <c r="C92" s="195">
        <v>25</v>
      </c>
      <c r="D92" s="195">
        <v>90</v>
      </c>
      <c r="E92" s="26"/>
      <c r="F92" s="201">
        <f t="shared" si="8"/>
        <v>1</v>
      </c>
      <c r="G92" s="201">
        <f t="shared" si="9"/>
        <v>1</v>
      </c>
      <c r="H92" s="201">
        <f t="shared" si="10"/>
        <v>1</v>
      </c>
      <c r="I92" s="201">
        <f t="shared" si="11"/>
        <v>1</v>
      </c>
      <c r="J92" s="220"/>
      <c r="L92" s="203" t="s">
        <v>365</v>
      </c>
      <c r="M92" s="207">
        <v>33</v>
      </c>
      <c r="N92" s="207">
        <v>22</v>
      </c>
      <c r="O92" s="208">
        <v>141</v>
      </c>
    </row>
    <row r="93" spans="1:15" ht="15.75" customHeight="1" x14ac:dyDescent="0.25">
      <c r="A93" s="223" t="s">
        <v>55</v>
      </c>
      <c r="B93" s="195">
        <v>33</v>
      </c>
      <c r="C93" s="195">
        <v>22</v>
      </c>
      <c r="D93" s="195">
        <v>108</v>
      </c>
      <c r="E93" s="26"/>
      <c r="F93" s="201">
        <f t="shared" si="8"/>
        <v>1</v>
      </c>
      <c r="G93" s="201">
        <f t="shared" si="9"/>
        <v>1</v>
      </c>
      <c r="H93" s="201">
        <f t="shared" si="10"/>
        <v>1</v>
      </c>
      <c r="I93" s="201">
        <f t="shared" si="11"/>
        <v>1</v>
      </c>
      <c r="J93" s="220"/>
      <c r="L93" s="203" t="s">
        <v>430</v>
      </c>
      <c r="M93" s="204">
        <v>24</v>
      </c>
      <c r="N93" s="204">
        <v>16</v>
      </c>
      <c r="O93" s="205">
        <v>95</v>
      </c>
    </row>
    <row r="94" spans="1:15" ht="15.75" customHeight="1" x14ac:dyDescent="0.25">
      <c r="A94" s="223" t="s">
        <v>56</v>
      </c>
      <c r="B94" s="195">
        <v>56</v>
      </c>
      <c r="C94" s="195">
        <v>37</v>
      </c>
      <c r="D94" s="195">
        <v>149</v>
      </c>
      <c r="E94" s="26"/>
      <c r="F94" s="201">
        <f t="shared" si="8"/>
        <v>1</v>
      </c>
      <c r="G94" s="201">
        <f t="shared" si="9"/>
        <v>1</v>
      </c>
      <c r="H94" s="201">
        <f t="shared" si="10"/>
        <v>1</v>
      </c>
      <c r="I94" s="201">
        <f t="shared" si="11"/>
        <v>1</v>
      </c>
      <c r="J94" s="220"/>
      <c r="L94" s="203" t="s">
        <v>431</v>
      </c>
      <c r="M94" s="204">
        <v>57</v>
      </c>
      <c r="N94" s="204">
        <v>38</v>
      </c>
      <c r="O94" s="206">
        <v>134</v>
      </c>
    </row>
    <row r="95" spans="1:15" ht="15.75" customHeight="1" x14ac:dyDescent="0.25">
      <c r="A95" s="223" t="s">
        <v>57</v>
      </c>
      <c r="B95" s="195">
        <v>51</v>
      </c>
      <c r="C95" s="195">
        <v>34</v>
      </c>
      <c r="D95" s="195">
        <v>219</v>
      </c>
      <c r="E95" s="26"/>
      <c r="F95" s="201">
        <f t="shared" si="8"/>
        <v>1</v>
      </c>
      <c r="G95" s="201">
        <f t="shared" si="9"/>
        <v>1</v>
      </c>
      <c r="H95" s="201">
        <f t="shared" si="10"/>
        <v>1</v>
      </c>
      <c r="I95" s="201">
        <f t="shared" si="11"/>
        <v>1</v>
      </c>
      <c r="J95" s="220"/>
      <c r="L95" s="203" t="s">
        <v>432</v>
      </c>
      <c r="M95" s="207">
        <v>42</v>
      </c>
      <c r="N95" s="207">
        <v>28</v>
      </c>
      <c r="O95" s="208">
        <v>108</v>
      </c>
    </row>
    <row r="96" spans="1:15" ht="15.75" customHeight="1" x14ac:dyDescent="0.25">
      <c r="A96" s="223" t="s">
        <v>58</v>
      </c>
      <c r="B96" s="195">
        <v>27</v>
      </c>
      <c r="C96" s="195">
        <v>18</v>
      </c>
      <c r="D96" s="195">
        <v>74</v>
      </c>
      <c r="E96" s="26"/>
      <c r="F96" s="201">
        <f t="shared" si="8"/>
        <v>1</v>
      </c>
      <c r="G96" s="201">
        <f t="shared" si="9"/>
        <v>1</v>
      </c>
      <c r="H96" s="201">
        <f t="shared" si="10"/>
        <v>1</v>
      </c>
      <c r="I96" s="201">
        <f t="shared" si="11"/>
        <v>1</v>
      </c>
      <c r="J96" s="220"/>
      <c r="L96" s="203" t="s">
        <v>433</v>
      </c>
      <c r="M96" s="204">
        <v>56</v>
      </c>
      <c r="N96" s="204">
        <v>37</v>
      </c>
      <c r="O96" s="206">
        <v>275</v>
      </c>
    </row>
    <row r="97" spans="1:15" ht="31.5" customHeight="1" x14ac:dyDescent="0.25">
      <c r="A97" s="223" t="s">
        <v>59</v>
      </c>
      <c r="B97" s="195">
        <v>34</v>
      </c>
      <c r="C97" s="195">
        <v>23</v>
      </c>
      <c r="D97" s="195">
        <v>123</v>
      </c>
      <c r="E97" s="26"/>
      <c r="F97" s="201">
        <f t="shared" si="8"/>
        <v>1</v>
      </c>
      <c r="G97" s="201">
        <f t="shared" si="9"/>
        <v>1</v>
      </c>
      <c r="H97" s="201">
        <f t="shared" si="10"/>
        <v>1</v>
      </c>
      <c r="I97" s="201">
        <f t="shared" si="11"/>
        <v>1</v>
      </c>
      <c r="J97" s="220"/>
      <c r="L97" s="203" t="s">
        <v>434</v>
      </c>
      <c r="M97" s="211"/>
      <c r="N97" s="211"/>
      <c r="O97" s="211"/>
    </row>
    <row r="98" spans="1:15" ht="30" x14ac:dyDescent="0.25">
      <c r="A98" s="227" t="s">
        <v>616</v>
      </c>
      <c r="B98" s="195">
        <v>65</v>
      </c>
      <c r="C98" s="195">
        <v>44</v>
      </c>
      <c r="D98" s="195">
        <v>337</v>
      </c>
      <c r="E98" s="26"/>
      <c r="F98" s="201">
        <f t="shared" si="8"/>
        <v>1</v>
      </c>
      <c r="G98" s="201">
        <f t="shared" si="9"/>
        <v>1</v>
      </c>
      <c r="H98" s="201">
        <f t="shared" si="10"/>
        <v>1</v>
      </c>
      <c r="I98" s="201">
        <f t="shared" si="11"/>
        <v>1</v>
      </c>
      <c r="J98" s="220"/>
      <c r="L98" s="203" t="s">
        <v>435</v>
      </c>
      <c r="M98" s="204">
        <v>62</v>
      </c>
      <c r="N98" s="204">
        <v>41</v>
      </c>
      <c r="O98" s="206">
        <v>214</v>
      </c>
    </row>
    <row r="99" spans="1:15" ht="32.25" customHeight="1" x14ac:dyDescent="0.25">
      <c r="A99" s="223" t="s">
        <v>143</v>
      </c>
      <c r="B99" s="195">
        <v>62</v>
      </c>
      <c r="C99" s="195">
        <v>41</v>
      </c>
      <c r="D99" s="195">
        <v>215</v>
      </c>
      <c r="E99" s="26"/>
      <c r="F99" s="201">
        <f t="shared" si="8"/>
        <v>1</v>
      </c>
      <c r="G99" s="201">
        <f t="shared" si="9"/>
        <v>1</v>
      </c>
      <c r="H99" s="201">
        <f t="shared" si="10"/>
        <v>1</v>
      </c>
      <c r="I99" s="201">
        <f t="shared" si="11"/>
        <v>1</v>
      </c>
      <c r="J99" s="220"/>
      <c r="L99" s="203" t="s">
        <v>436</v>
      </c>
      <c r="M99" s="204">
        <v>54</v>
      </c>
      <c r="N99" s="204">
        <v>36</v>
      </c>
      <c r="O99" s="206">
        <v>392</v>
      </c>
    </row>
    <row r="100" spans="1:15" ht="15" customHeight="1" x14ac:dyDescent="0.25">
      <c r="A100" s="223" t="s">
        <v>173</v>
      </c>
      <c r="B100" s="195">
        <v>28</v>
      </c>
      <c r="C100" s="195">
        <v>19</v>
      </c>
      <c r="D100" s="195">
        <v>92</v>
      </c>
      <c r="E100" s="26"/>
      <c r="F100" s="201">
        <f t="shared" si="8"/>
        <v>0</v>
      </c>
      <c r="G100" s="201">
        <f t="shared" si="9"/>
        <v>1</v>
      </c>
      <c r="H100" s="201">
        <f t="shared" si="10"/>
        <v>1</v>
      </c>
      <c r="I100" s="201">
        <f t="shared" si="11"/>
        <v>1</v>
      </c>
      <c r="J100" s="220" t="s">
        <v>617</v>
      </c>
      <c r="L100" s="203" t="s">
        <v>437</v>
      </c>
      <c r="M100" s="204">
        <v>63</v>
      </c>
      <c r="N100" s="204">
        <v>42</v>
      </c>
      <c r="O100" s="206">
        <v>304</v>
      </c>
    </row>
    <row r="101" spans="1:15" ht="15.75" customHeight="1" x14ac:dyDescent="0.25">
      <c r="A101" s="223" t="s">
        <v>144</v>
      </c>
      <c r="B101" s="195">
        <v>48</v>
      </c>
      <c r="C101" s="195">
        <v>32</v>
      </c>
      <c r="D101" s="195">
        <v>108</v>
      </c>
      <c r="E101" s="26"/>
      <c r="F101" s="201">
        <f t="shared" si="8"/>
        <v>1</v>
      </c>
      <c r="G101" s="201">
        <f t="shared" si="9"/>
        <v>1</v>
      </c>
      <c r="H101" s="201">
        <f t="shared" si="10"/>
        <v>1</v>
      </c>
      <c r="I101" s="201">
        <f t="shared" si="11"/>
        <v>1</v>
      </c>
      <c r="J101" s="220"/>
      <c r="L101" s="203" t="s">
        <v>365</v>
      </c>
      <c r="M101" s="204">
        <v>54</v>
      </c>
      <c r="N101" s="204">
        <v>36</v>
      </c>
      <c r="O101" s="206">
        <v>214</v>
      </c>
    </row>
    <row r="102" spans="1:15" ht="15.75" customHeight="1" x14ac:dyDescent="0.25">
      <c r="A102" s="223" t="s">
        <v>60</v>
      </c>
      <c r="B102" s="195">
        <v>24</v>
      </c>
      <c r="C102" s="195">
        <v>16</v>
      </c>
      <c r="D102" s="195">
        <v>71</v>
      </c>
      <c r="E102" s="26"/>
      <c r="F102" s="201">
        <f t="shared" si="8"/>
        <v>1</v>
      </c>
      <c r="G102" s="201">
        <f t="shared" si="9"/>
        <v>1</v>
      </c>
      <c r="H102" s="201">
        <f t="shared" si="10"/>
        <v>1</v>
      </c>
      <c r="I102" s="201">
        <f t="shared" si="11"/>
        <v>1</v>
      </c>
      <c r="J102" s="220"/>
      <c r="L102" s="203" t="s">
        <v>438</v>
      </c>
      <c r="M102" s="204">
        <v>38</v>
      </c>
      <c r="N102" s="204">
        <v>25</v>
      </c>
      <c r="O102" s="205">
        <v>90</v>
      </c>
    </row>
    <row r="103" spans="1:15" ht="15.75" customHeight="1" x14ac:dyDescent="0.25">
      <c r="A103" s="223" t="s">
        <v>61</v>
      </c>
      <c r="B103" s="195">
        <v>46</v>
      </c>
      <c r="C103" s="195">
        <v>31</v>
      </c>
      <c r="D103" s="195">
        <v>191</v>
      </c>
      <c r="E103" s="26"/>
      <c r="F103" s="201">
        <f t="shared" si="8"/>
        <v>1</v>
      </c>
      <c r="G103" s="201">
        <f t="shared" si="9"/>
        <v>1</v>
      </c>
      <c r="H103" s="201">
        <f t="shared" si="10"/>
        <v>1</v>
      </c>
      <c r="I103" s="201">
        <f t="shared" si="11"/>
        <v>1</v>
      </c>
      <c r="J103" s="220"/>
      <c r="L103" s="203" t="s">
        <v>439</v>
      </c>
      <c r="M103" s="207">
        <v>33</v>
      </c>
      <c r="N103" s="207">
        <v>22</v>
      </c>
      <c r="O103" s="208">
        <v>108</v>
      </c>
    </row>
    <row r="104" spans="1:15" ht="15.75" customHeight="1" x14ac:dyDescent="0.25">
      <c r="A104" s="223" t="s">
        <v>62</v>
      </c>
      <c r="B104" s="195">
        <v>51</v>
      </c>
      <c r="C104" s="195">
        <v>34</v>
      </c>
      <c r="D104" s="195">
        <v>170</v>
      </c>
      <c r="E104" s="26"/>
      <c r="F104" s="201">
        <f t="shared" si="8"/>
        <v>1</v>
      </c>
      <c r="G104" s="201">
        <f t="shared" si="9"/>
        <v>1</v>
      </c>
      <c r="H104" s="201">
        <f t="shared" si="10"/>
        <v>1</v>
      </c>
      <c r="I104" s="201">
        <f t="shared" si="11"/>
        <v>1</v>
      </c>
      <c r="J104" s="220"/>
      <c r="L104" s="203" t="s">
        <v>440</v>
      </c>
      <c r="M104" s="204">
        <v>56</v>
      </c>
      <c r="N104" s="204">
        <v>37</v>
      </c>
      <c r="O104" s="206">
        <v>149</v>
      </c>
    </row>
    <row r="105" spans="1:15" ht="15.75" customHeight="1" x14ac:dyDescent="0.25">
      <c r="A105" s="223" t="s">
        <v>63</v>
      </c>
      <c r="B105" s="195">
        <v>56</v>
      </c>
      <c r="C105" s="195">
        <v>37</v>
      </c>
      <c r="D105" s="195">
        <v>241</v>
      </c>
      <c r="E105" s="26"/>
      <c r="F105" s="201">
        <f t="shared" si="8"/>
        <v>1</v>
      </c>
      <c r="G105" s="201">
        <f t="shared" si="9"/>
        <v>1</v>
      </c>
      <c r="H105" s="201">
        <f t="shared" si="10"/>
        <v>1</v>
      </c>
      <c r="I105" s="201">
        <f t="shared" si="11"/>
        <v>1</v>
      </c>
      <c r="J105" s="220"/>
      <c r="L105" s="203" t="s">
        <v>441</v>
      </c>
      <c r="M105" s="204">
        <v>51</v>
      </c>
      <c r="N105" s="204">
        <v>34</v>
      </c>
      <c r="O105" s="206">
        <v>219</v>
      </c>
    </row>
    <row r="106" spans="1:15" ht="15.75" customHeight="1" x14ac:dyDescent="0.25">
      <c r="A106" s="223" t="s">
        <v>64</v>
      </c>
      <c r="B106" s="195">
        <v>35</v>
      </c>
      <c r="C106" s="195">
        <v>24</v>
      </c>
      <c r="D106" s="195">
        <v>71</v>
      </c>
      <c r="E106" s="26"/>
      <c r="F106" s="201">
        <f t="shared" si="8"/>
        <v>1</v>
      </c>
      <c r="G106" s="201">
        <f t="shared" si="9"/>
        <v>1</v>
      </c>
      <c r="H106" s="201">
        <f t="shared" si="10"/>
        <v>1</v>
      </c>
      <c r="I106" s="201">
        <f t="shared" si="11"/>
        <v>1</v>
      </c>
      <c r="J106" s="220"/>
      <c r="L106" s="203" t="s">
        <v>442</v>
      </c>
      <c r="M106" s="204">
        <v>27</v>
      </c>
      <c r="N106" s="204">
        <v>18</v>
      </c>
      <c r="O106" s="205">
        <v>74</v>
      </c>
    </row>
    <row r="107" spans="1:15" ht="15.75" customHeight="1" x14ac:dyDescent="0.25">
      <c r="A107" s="223" t="s">
        <v>65</v>
      </c>
      <c r="B107" s="195">
        <v>28</v>
      </c>
      <c r="C107" s="195">
        <v>19</v>
      </c>
      <c r="D107" s="195">
        <v>104</v>
      </c>
      <c r="E107" s="26"/>
      <c r="F107" s="201">
        <f t="shared" si="8"/>
        <v>1</v>
      </c>
      <c r="G107" s="201">
        <f t="shared" si="9"/>
        <v>1</v>
      </c>
      <c r="H107" s="201">
        <f t="shared" si="10"/>
        <v>1</v>
      </c>
      <c r="I107" s="201">
        <f t="shared" si="11"/>
        <v>1</v>
      </c>
      <c r="J107" s="220"/>
      <c r="L107" s="203" t="s">
        <v>443</v>
      </c>
      <c r="M107" s="207">
        <v>34</v>
      </c>
      <c r="N107" s="207">
        <v>23</v>
      </c>
      <c r="O107" s="208">
        <v>123</v>
      </c>
    </row>
    <row r="108" spans="1:15" ht="15.75" customHeight="1" x14ac:dyDescent="0.25">
      <c r="A108" s="223" t="s">
        <v>66</v>
      </c>
      <c r="B108" s="195">
        <v>35</v>
      </c>
      <c r="C108" s="195">
        <v>24</v>
      </c>
      <c r="D108" s="195">
        <v>76</v>
      </c>
      <c r="E108" s="26"/>
      <c r="F108" s="201">
        <f t="shared" si="8"/>
        <v>1</v>
      </c>
      <c r="G108" s="201">
        <f t="shared" si="9"/>
        <v>1</v>
      </c>
      <c r="H108" s="201">
        <f t="shared" si="10"/>
        <v>1</v>
      </c>
      <c r="I108" s="201">
        <f t="shared" si="11"/>
        <v>1</v>
      </c>
      <c r="J108" s="220"/>
      <c r="L108" s="203" t="s">
        <v>444</v>
      </c>
      <c r="M108" s="204">
        <v>62</v>
      </c>
      <c r="N108" s="204">
        <v>41</v>
      </c>
      <c r="O108" s="206">
        <v>215</v>
      </c>
    </row>
    <row r="109" spans="1:15" ht="15.75" customHeight="1" x14ac:dyDescent="0.25">
      <c r="A109" s="223" t="s">
        <v>67</v>
      </c>
      <c r="B109" s="195">
        <v>69</v>
      </c>
      <c r="C109" s="195">
        <v>46</v>
      </c>
      <c r="D109" s="195">
        <v>146</v>
      </c>
      <c r="E109" s="26"/>
      <c r="F109" s="201">
        <f t="shared" si="8"/>
        <v>1</v>
      </c>
      <c r="G109" s="201">
        <f t="shared" si="9"/>
        <v>1</v>
      </c>
      <c r="H109" s="201">
        <f t="shared" si="10"/>
        <v>1</v>
      </c>
      <c r="I109" s="201">
        <f t="shared" si="11"/>
        <v>1</v>
      </c>
      <c r="J109" s="220"/>
      <c r="L109" s="203" t="s">
        <v>445</v>
      </c>
      <c r="M109" s="207">
        <v>65</v>
      </c>
      <c r="N109" s="207">
        <v>44</v>
      </c>
      <c r="O109" s="208">
        <v>337</v>
      </c>
    </row>
    <row r="110" spans="1:15" ht="15.75" customHeight="1" x14ac:dyDescent="0.25">
      <c r="A110" s="223" t="s">
        <v>656</v>
      </c>
      <c r="B110" s="195">
        <v>65</v>
      </c>
      <c r="C110" s="195">
        <v>44</v>
      </c>
      <c r="D110" s="195">
        <v>173</v>
      </c>
      <c r="E110" s="26"/>
      <c r="F110" s="201">
        <f>_xlfn.IFNA(IF(VLOOKUP(IF(J110="",A110,J110),$L$3:$O$330,1,FALSE)=A110,1,0),0)</f>
        <v>1</v>
      </c>
      <c r="G110" s="201">
        <f>_xlfn.IFNA(IF(VLOOKUP(IF(J110="",A110,J110),$L$3:$O$330,2,FALSE)=B110,1,0),0)</f>
        <v>1</v>
      </c>
      <c r="H110" s="201">
        <f>_xlfn.IFNA(IF(VLOOKUP(IF(J110="",A110,J110),$L$3:$O$330,3,FALSE)=C110,1,0),0)</f>
        <v>1</v>
      </c>
      <c r="I110" s="201">
        <f>_xlfn.IFNA(IF(VLOOKUP(IF(J110="",A110,J110),$L$3:$O$330,4,FALSE)=D110,1,0),0)</f>
        <v>1</v>
      </c>
      <c r="J110" s="220"/>
      <c r="L110" s="213" t="s">
        <v>446</v>
      </c>
      <c r="M110" s="204">
        <v>28</v>
      </c>
      <c r="N110" s="204">
        <v>19</v>
      </c>
      <c r="O110" s="205">
        <v>92</v>
      </c>
    </row>
    <row r="111" spans="1:15" ht="15.75" customHeight="1" x14ac:dyDescent="0.25">
      <c r="A111" s="223" t="s">
        <v>68</v>
      </c>
      <c r="B111" s="195">
        <v>63</v>
      </c>
      <c r="C111" s="195">
        <v>42</v>
      </c>
      <c r="D111" s="195">
        <v>135</v>
      </c>
      <c r="E111" s="26"/>
      <c r="F111" s="201">
        <f t="shared" si="8"/>
        <v>1</v>
      </c>
      <c r="G111" s="201">
        <f t="shared" si="9"/>
        <v>1</v>
      </c>
      <c r="H111" s="201">
        <f t="shared" si="10"/>
        <v>1</v>
      </c>
      <c r="I111" s="201">
        <f t="shared" si="11"/>
        <v>1</v>
      </c>
      <c r="J111" s="220"/>
      <c r="L111" s="203" t="s">
        <v>447</v>
      </c>
      <c r="M111" s="204">
        <v>48</v>
      </c>
      <c r="N111" s="204">
        <v>32</v>
      </c>
      <c r="O111" s="206">
        <v>108</v>
      </c>
    </row>
    <row r="112" spans="1:15" ht="15.75" customHeight="1" x14ac:dyDescent="0.25">
      <c r="A112" s="223" t="s">
        <v>69</v>
      </c>
      <c r="B112" s="195">
        <v>56</v>
      </c>
      <c r="C112" s="195">
        <v>37</v>
      </c>
      <c r="D112" s="195">
        <v>190</v>
      </c>
      <c r="E112" s="26"/>
      <c r="F112" s="201">
        <f t="shared" si="8"/>
        <v>1</v>
      </c>
      <c r="G112" s="201">
        <f t="shared" si="9"/>
        <v>1</v>
      </c>
      <c r="H112" s="201">
        <f t="shared" si="10"/>
        <v>1</v>
      </c>
      <c r="I112" s="201">
        <f t="shared" si="11"/>
        <v>1</v>
      </c>
      <c r="J112" s="220"/>
      <c r="L112" s="203" t="s">
        <v>448</v>
      </c>
      <c r="M112" s="204">
        <v>24</v>
      </c>
      <c r="N112" s="204">
        <v>16</v>
      </c>
      <c r="O112" s="205">
        <v>71</v>
      </c>
    </row>
    <row r="113" spans="1:15" ht="15.75" customHeight="1" x14ac:dyDescent="0.25">
      <c r="A113" s="223" t="s">
        <v>70</v>
      </c>
      <c r="B113" s="195">
        <v>26</v>
      </c>
      <c r="C113" s="195">
        <v>17</v>
      </c>
      <c r="D113" s="195">
        <v>109</v>
      </c>
      <c r="E113" s="26"/>
      <c r="F113" s="201">
        <f t="shared" si="8"/>
        <v>1</v>
      </c>
      <c r="G113" s="201">
        <f t="shared" si="9"/>
        <v>1</v>
      </c>
      <c r="H113" s="201">
        <f t="shared" si="10"/>
        <v>1</v>
      </c>
      <c r="I113" s="201">
        <f t="shared" si="11"/>
        <v>1</v>
      </c>
      <c r="J113" s="220"/>
      <c r="L113" s="203" t="s">
        <v>449</v>
      </c>
      <c r="M113" s="207">
        <v>46</v>
      </c>
      <c r="N113" s="207">
        <v>31</v>
      </c>
      <c r="O113" s="208">
        <v>191</v>
      </c>
    </row>
    <row r="114" spans="1:15" ht="15.75" customHeight="1" x14ac:dyDescent="0.25">
      <c r="A114" s="223" t="s">
        <v>71</v>
      </c>
      <c r="B114" s="195">
        <v>63</v>
      </c>
      <c r="C114" s="195">
        <v>42</v>
      </c>
      <c r="D114" s="195">
        <v>139</v>
      </c>
      <c r="E114" s="26"/>
      <c r="F114" s="201">
        <f t="shared" si="8"/>
        <v>1</v>
      </c>
      <c r="G114" s="201">
        <f t="shared" si="9"/>
        <v>1</v>
      </c>
      <c r="H114" s="201">
        <f t="shared" si="10"/>
        <v>1</v>
      </c>
      <c r="I114" s="201">
        <f t="shared" si="11"/>
        <v>1</v>
      </c>
      <c r="J114" s="220"/>
      <c r="L114" s="203" t="s">
        <v>450</v>
      </c>
      <c r="M114" s="204">
        <v>51</v>
      </c>
      <c r="N114" s="204">
        <v>34</v>
      </c>
      <c r="O114" s="206">
        <v>170</v>
      </c>
    </row>
    <row r="115" spans="1:15" ht="15.75" customHeight="1" x14ac:dyDescent="0.25">
      <c r="A115" s="223" t="s">
        <v>72</v>
      </c>
      <c r="B115" s="195">
        <v>33</v>
      </c>
      <c r="C115" s="195">
        <v>22</v>
      </c>
      <c r="D115" s="195">
        <v>116</v>
      </c>
      <c r="E115" s="26"/>
      <c r="F115" s="201">
        <f t="shared" si="8"/>
        <v>1</v>
      </c>
      <c r="G115" s="201">
        <f t="shared" si="9"/>
        <v>1</v>
      </c>
      <c r="H115" s="201">
        <f t="shared" si="10"/>
        <v>1</v>
      </c>
      <c r="I115" s="201">
        <f t="shared" si="11"/>
        <v>1</v>
      </c>
      <c r="J115" s="220"/>
      <c r="L115" s="203" t="s">
        <v>451</v>
      </c>
      <c r="M115" s="204">
        <v>56</v>
      </c>
      <c r="N115" s="204">
        <v>37</v>
      </c>
      <c r="O115" s="206">
        <v>241</v>
      </c>
    </row>
    <row r="116" spans="1:15" ht="15.75" customHeight="1" x14ac:dyDescent="0.25">
      <c r="A116" s="223" t="s">
        <v>73</v>
      </c>
      <c r="B116" s="195">
        <v>41</v>
      </c>
      <c r="C116" s="195">
        <v>28</v>
      </c>
      <c r="D116" s="195">
        <v>109</v>
      </c>
      <c r="E116" s="26"/>
      <c r="F116" s="201">
        <f t="shared" si="8"/>
        <v>1</v>
      </c>
      <c r="G116" s="201">
        <f t="shared" si="9"/>
        <v>1</v>
      </c>
      <c r="H116" s="201">
        <f t="shared" si="10"/>
        <v>1</v>
      </c>
      <c r="I116" s="201">
        <f t="shared" si="11"/>
        <v>1</v>
      </c>
      <c r="J116" s="220"/>
      <c r="L116" s="203" t="s">
        <v>452</v>
      </c>
      <c r="M116" s="204">
        <v>35</v>
      </c>
      <c r="N116" s="204">
        <v>24</v>
      </c>
      <c r="O116" s="205">
        <v>71</v>
      </c>
    </row>
    <row r="117" spans="1:15" ht="15.75" customHeight="1" x14ac:dyDescent="0.25">
      <c r="A117" s="223" t="s">
        <v>74</v>
      </c>
      <c r="B117" s="195">
        <v>36</v>
      </c>
      <c r="C117" s="195">
        <v>24</v>
      </c>
      <c r="D117" s="195">
        <v>86</v>
      </c>
      <c r="E117" s="26"/>
      <c r="F117" s="201">
        <f t="shared" si="8"/>
        <v>1</v>
      </c>
      <c r="G117" s="201">
        <f t="shared" si="9"/>
        <v>1</v>
      </c>
      <c r="H117" s="201">
        <f t="shared" si="10"/>
        <v>1</v>
      </c>
      <c r="I117" s="201">
        <f t="shared" si="11"/>
        <v>1</v>
      </c>
      <c r="J117" s="220"/>
      <c r="L117" s="203" t="s">
        <v>453</v>
      </c>
      <c r="M117" s="204">
        <v>28</v>
      </c>
      <c r="N117" s="204">
        <v>19</v>
      </c>
      <c r="O117" s="206">
        <v>104</v>
      </c>
    </row>
    <row r="118" spans="1:15" ht="15.75" customHeight="1" x14ac:dyDescent="0.25">
      <c r="A118" s="223" t="s">
        <v>75</v>
      </c>
      <c r="B118" s="195">
        <v>70</v>
      </c>
      <c r="C118" s="195">
        <v>47</v>
      </c>
      <c r="D118" s="195">
        <v>200</v>
      </c>
      <c r="E118" s="26"/>
      <c r="F118" s="201">
        <f t="shared" si="8"/>
        <v>1</v>
      </c>
      <c r="G118" s="201">
        <f t="shared" si="9"/>
        <v>1</v>
      </c>
      <c r="H118" s="201">
        <f t="shared" si="10"/>
        <v>1</v>
      </c>
      <c r="I118" s="201">
        <f t="shared" si="11"/>
        <v>1</v>
      </c>
      <c r="J118" s="220"/>
      <c r="L118" s="203" t="s">
        <v>454</v>
      </c>
      <c r="M118" s="204">
        <v>35</v>
      </c>
      <c r="N118" s="204">
        <v>24</v>
      </c>
      <c r="O118" s="205">
        <v>76</v>
      </c>
    </row>
    <row r="119" spans="1:15" ht="15.75" customHeight="1" x14ac:dyDescent="0.25">
      <c r="A119" s="223" t="s">
        <v>76</v>
      </c>
      <c r="B119" s="195">
        <v>38</v>
      </c>
      <c r="C119" s="195">
        <v>25</v>
      </c>
      <c r="D119" s="195">
        <v>120</v>
      </c>
      <c r="E119" s="26"/>
      <c r="F119" s="201">
        <f t="shared" si="8"/>
        <v>1</v>
      </c>
      <c r="G119" s="201">
        <f t="shared" si="9"/>
        <v>1</v>
      </c>
      <c r="H119" s="201">
        <f t="shared" si="10"/>
        <v>1</v>
      </c>
      <c r="I119" s="201">
        <f t="shared" si="11"/>
        <v>1</v>
      </c>
      <c r="J119" s="220"/>
      <c r="L119" s="203" t="s">
        <v>455</v>
      </c>
      <c r="M119" s="204">
        <v>63</v>
      </c>
      <c r="N119" s="204">
        <v>42</v>
      </c>
      <c r="O119" s="206">
        <v>135</v>
      </c>
    </row>
    <row r="120" spans="1:15" ht="15.75" customHeight="1" x14ac:dyDescent="0.25">
      <c r="A120" s="223" t="s">
        <v>77</v>
      </c>
      <c r="B120" s="195">
        <v>46</v>
      </c>
      <c r="C120" s="195">
        <v>31</v>
      </c>
      <c r="D120" s="195">
        <v>114</v>
      </c>
      <c r="E120" s="26"/>
      <c r="F120" s="201">
        <f t="shared" si="8"/>
        <v>1</v>
      </c>
      <c r="G120" s="201">
        <f t="shared" si="9"/>
        <v>1</v>
      </c>
      <c r="H120" s="201">
        <f t="shared" si="10"/>
        <v>1</v>
      </c>
      <c r="I120" s="201">
        <f t="shared" si="11"/>
        <v>1</v>
      </c>
      <c r="J120" s="220"/>
      <c r="L120" s="203" t="s">
        <v>456</v>
      </c>
      <c r="M120" s="204">
        <v>69</v>
      </c>
      <c r="N120" s="204">
        <v>46</v>
      </c>
      <c r="O120" s="206">
        <v>146</v>
      </c>
    </row>
    <row r="121" spans="1:15" ht="15.75" customHeight="1" x14ac:dyDescent="0.25">
      <c r="A121" s="223" t="s">
        <v>78</v>
      </c>
      <c r="B121" s="195">
        <v>41</v>
      </c>
      <c r="C121" s="195">
        <v>28</v>
      </c>
      <c r="D121" s="195">
        <v>87</v>
      </c>
      <c r="E121" s="26"/>
      <c r="F121" s="201">
        <f t="shared" si="8"/>
        <v>1</v>
      </c>
      <c r="G121" s="201">
        <f t="shared" si="9"/>
        <v>1</v>
      </c>
      <c r="H121" s="201">
        <f t="shared" si="10"/>
        <v>1</v>
      </c>
      <c r="I121" s="201">
        <f t="shared" si="11"/>
        <v>1</v>
      </c>
      <c r="J121" s="220"/>
      <c r="L121" s="209" t="s">
        <v>457</v>
      </c>
      <c r="M121" s="207">
        <v>65</v>
      </c>
      <c r="N121" s="207">
        <v>44</v>
      </c>
      <c r="O121" s="208">
        <v>173</v>
      </c>
    </row>
    <row r="122" spans="1:15" ht="15.75" customHeight="1" x14ac:dyDescent="0.25">
      <c r="A122" s="223" t="s">
        <v>79</v>
      </c>
      <c r="B122" s="195">
        <v>63</v>
      </c>
      <c r="C122" s="195">
        <v>42</v>
      </c>
      <c r="D122" s="195">
        <v>102</v>
      </c>
      <c r="E122" s="26"/>
      <c r="F122" s="201">
        <f t="shared" si="8"/>
        <v>1</v>
      </c>
      <c r="G122" s="201">
        <f t="shared" si="9"/>
        <v>1</v>
      </c>
      <c r="H122" s="201">
        <f t="shared" si="10"/>
        <v>1</v>
      </c>
      <c r="I122" s="201">
        <f t="shared" si="11"/>
        <v>1</v>
      </c>
      <c r="J122" s="220"/>
      <c r="L122" s="203" t="s">
        <v>458</v>
      </c>
      <c r="M122" s="204">
        <v>56</v>
      </c>
      <c r="N122" s="204">
        <v>37</v>
      </c>
      <c r="O122" s="206">
        <v>190</v>
      </c>
    </row>
    <row r="123" spans="1:15" ht="15.75" customHeight="1" x14ac:dyDescent="0.25">
      <c r="A123" s="223" t="s">
        <v>80</v>
      </c>
      <c r="B123" s="195">
        <v>35</v>
      </c>
      <c r="C123" s="195">
        <v>24</v>
      </c>
      <c r="D123" s="195">
        <v>86</v>
      </c>
      <c r="E123" s="26"/>
      <c r="F123" s="201">
        <f t="shared" si="8"/>
        <v>1</v>
      </c>
      <c r="G123" s="201">
        <f t="shared" si="9"/>
        <v>1</v>
      </c>
      <c r="H123" s="201">
        <f t="shared" si="10"/>
        <v>1</v>
      </c>
      <c r="I123" s="201">
        <f t="shared" si="11"/>
        <v>1</v>
      </c>
      <c r="J123" s="220"/>
      <c r="L123" s="203" t="s">
        <v>459</v>
      </c>
      <c r="M123" s="204">
        <v>26</v>
      </c>
      <c r="N123" s="204">
        <v>17</v>
      </c>
      <c r="O123" s="206">
        <v>109</v>
      </c>
    </row>
    <row r="124" spans="1:15" ht="15.75" customHeight="1" x14ac:dyDescent="0.25">
      <c r="A124" s="223" t="s">
        <v>81</v>
      </c>
      <c r="B124" s="195">
        <v>44</v>
      </c>
      <c r="C124" s="195">
        <v>29</v>
      </c>
      <c r="D124" s="195">
        <v>172</v>
      </c>
      <c r="E124" s="26"/>
      <c r="F124" s="201">
        <f t="shared" si="8"/>
        <v>1</v>
      </c>
      <c r="G124" s="201">
        <f t="shared" si="9"/>
        <v>1</v>
      </c>
      <c r="H124" s="201">
        <f t="shared" si="10"/>
        <v>1</v>
      </c>
      <c r="I124" s="201">
        <f t="shared" si="11"/>
        <v>1</v>
      </c>
      <c r="J124" s="220"/>
      <c r="L124" s="203" t="s">
        <v>460</v>
      </c>
      <c r="M124" s="204">
        <v>63</v>
      </c>
      <c r="N124" s="204">
        <v>42</v>
      </c>
      <c r="O124" s="206">
        <v>139</v>
      </c>
    </row>
    <row r="125" spans="1:15" ht="15.75" customHeight="1" x14ac:dyDescent="0.25">
      <c r="A125" s="223" t="s">
        <v>82</v>
      </c>
      <c r="B125" s="195">
        <v>48</v>
      </c>
      <c r="C125" s="195">
        <v>32</v>
      </c>
      <c r="D125" s="195">
        <v>177</v>
      </c>
      <c r="E125" s="26"/>
      <c r="F125" s="201">
        <f t="shared" si="8"/>
        <v>1</v>
      </c>
      <c r="G125" s="201">
        <f t="shared" si="9"/>
        <v>1</v>
      </c>
      <c r="H125" s="201">
        <f t="shared" si="10"/>
        <v>1</v>
      </c>
      <c r="I125" s="201">
        <f t="shared" si="11"/>
        <v>1</v>
      </c>
      <c r="J125" s="220"/>
      <c r="L125" s="203" t="s">
        <v>461</v>
      </c>
      <c r="M125" s="204">
        <v>33</v>
      </c>
      <c r="N125" s="204">
        <v>22</v>
      </c>
      <c r="O125" s="206">
        <v>116</v>
      </c>
    </row>
    <row r="126" spans="1:15" ht="15.75" customHeight="1" x14ac:dyDescent="0.25">
      <c r="A126" s="223" t="s">
        <v>83</v>
      </c>
      <c r="B126" s="195">
        <v>26</v>
      </c>
      <c r="C126" s="195">
        <v>17</v>
      </c>
      <c r="D126" s="195">
        <v>73</v>
      </c>
      <c r="E126" s="26"/>
      <c r="F126" s="201">
        <f t="shared" si="8"/>
        <v>1</v>
      </c>
      <c r="G126" s="201">
        <f t="shared" si="9"/>
        <v>1</v>
      </c>
      <c r="H126" s="201">
        <f t="shared" si="10"/>
        <v>1</v>
      </c>
      <c r="I126" s="201">
        <f t="shared" si="11"/>
        <v>1</v>
      </c>
      <c r="J126" s="220"/>
      <c r="L126" s="203" t="s">
        <v>462</v>
      </c>
      <c r="M126" s="204">
        <v>41</v>
      </c>
      <c r="N126" s="204">
        <v>28</v>
      </c>
      <c r="O126" s="206">
        <v>109</v>
      </c>
    </row>
    <row r="127" spans="1:15" ht="15.75" customHeight="1" x14ac:dyDescent="0.25">
      <c r="A127" s="223" t="s">
        <v>84</v>
      </c>
      <c r="B127" s="195">
        <v>52</v>
      </c>
      <c r="C127" s="195">
        <v>35</v>
      </c>
      <c r="D127" s="195">
        <v>187</v>
      </c>
      <c r="E127" s="26"/>
      <c r="F127" s="201">
        <f t="shared" si="8"/>
        <v>1</v>
      </c>
      <c r="G127" s="201">
        <f t="shared" si="9"/>
        <v>1</v>
      </c>
      <c r="H127" s="201">
        <f t="shared" si="10"/>
        <v>1</v>
      </c>
      <c r="I127" s="201">
        <f t="shared" si="11"/>
        <v>1</v>
      </c>
      <c r="J127" s="220"/>
      <c r="L127" s="203" t="s">
        <v>463</v>
      </c>
      <c r="M127" s="204">
        <v>36</v>
      </c>
      <c r="N127" s="204">
        <v>24</v>
      </c>
      <c r="O127" s="205">
        <v>86</v>
      </c>
    </row>
    <row r="128" spans="1:15" ht="15.75" customHeight="1" x14ac:dyDescent="0.25">
      <c r="A128" s="223" t="s">
        <v>85</v>
      </c>
      <c r="B128" s="195">
        <v>23</v>
      </c>
      <c r="C128" s="195">
        <v>16</v>
      </c>
      <c r="D128" s="195">
        <v>92</v>
      </c>
      <c r="E128" s="26"/>
      <c r="F128" s="201">
        <f t="shared" si="8"/>
        <v>1</v>
      </c>
      <c r="G128" s="201">
        <f t="shared" si="9"/>
        <v>1</v>
      </c>
      <c r="H128" s="201">
        <f t="shared" si="10"/>
        <v>1</v>
      </c>
      <c r="I128" s="201">
        <f t="shared" si="11"/>
        <v>1</v>
      </c>
      <c r="J128" s="220"/>
      <c r="L128" s="203" t="s">
        <v>464</v>
      </c>
      <c r="M128" s="207">
        <v>70</v>
      </c>
      <c r="N128" s="207">
        <v>47</v>
      </c>
      <c r="O128" s="208">
        <v>200</v>
      </c>
    </row>
    <row r="129" spans="1:15" ht="15.75" customHeight="1" x14ac:dyDescent="0.25">
      <c r="A129" s="223" t="s">
        <v>86</v>
      </c>
      <c r="B129" s="195">
        <v>32</v>
      </c>
      <c r="C129" s="195">
        <v>21</v>
      </c>
      <c r="D129" s="195">
        <v>85</v>
      </c>
      <c r="E129" s="26"/>
      <c r="F129" s="201">
        <f t="shared" si="8"/>
        <v>1</v>
      </c>
      <c r="G129" s="201">
        <f t="shared" si="9"/>
        <v>1</v>
      </c>
      <c r="H129" s="201">
        <f t="shared" si="10"/>
        <v>1</v>
      </c>
      <c r="I129" s="201">
        <f t="shared" si="11"/>
        <v>1</v>
      </c>
      <c r="J129" s="220"/>
      <c r="L129" s="203" t="s">
        <v>465</v>
      </c>
      <c r="M129" s="204">
        <v>38</v>
      </c>
      <c r="N129" s="204">
        <v>25</v>
      </c>
      <c r="O129" s="206">
        <v>120</v>
      </c>
    </row>
    <row r="130" spans="1:15" ht="15.75" customHeight="1" x14ac:dyDescent="0.25">
      <c r="A130" s="223" t="s">
        <v>87</v>
      </c>
      <c r="B130" s="195">
        <v>51</v>
      </c>
      <c r="C130" s="195">
        <v>34</v>
      </c>
      <c r="D130" s="195">
        <v>208</v>
      </c>
      <c r="E130" s="26"/>
      <c r="F130" s="201">
        <f t="shared" si="8"/>
        <v>1</v>
      </c>
      <c r="G130" s="201">
        <f t="shared" si="9"/>
        <v>1</v>
      </c>
      <c r="H130" s="201">
        <f t="shared" si="10"/>
        <v>1</v>
      </c>
      <c r="I130" s="201">
        <f t="shared" si="11"/>
        <v>1</v>
      </c>
      <c r="J130" s="220"/>
      <c r="L130" s="203" t="s">
        <v>466</v>
      </c>
      <c r="M130" s="204">
        <v>46</v>
      </c>
      <c r="N130" s="204">
        <v>31</v>
      </c>
      <c r="O130" s="206">
        <v>114</v>
      </c>
    </row>
    <row r="131" spans="1:15" ht="15.75" customHeight="1" x14ac:dyDescent="0.25">
      <c r="A131" s="223" t="s">
        <v>621</v>
      </c>
      <c r="B131" s="195">
        <v>23</v>
      </c>
      <c r="C131" s="195">
        <v>16</v>
      </c>
      <c r="D131" s="195">
        <v>103</v>
      </c>
      <c r="E131" s="26"/>
      <c r="F131" s="201">
        <f t="shared" si="8"/>
        <v>1</v>
      </c>
      <c r="G131" s="201">
        <f t="shared" si="9"/>
        <v>1</v>
      </c>
      <c r="H131" s="201">
        <f t="shared" si="10"/>
        <v>1</v>
      </c>
      <c r="I131" s="201">
        <f t="shared" si="11"/>
        <v>1</v>
      </c>
      <c r="J131" s="220"/>
      <c r="L131" s="203" t="s">
        <v>467</v>
      </c>
      <c r="M131" s="204">
        <v>41</v>
      </c>
      <c r="N131" s="204">
        <v>28</v>
      </c>
      <c r="O131" s="205">
        <v>87</v>
      </c>
    </row>
    <row r="132" spans="1:15" ht="15.75" customHeight="1" x14ac:dyDescent="0.25">
      <c r="A132" s="223" t="s">
        <v>88</v>
      </c>
      <c r="B132" s="195">
        <v>30</v>
      </c>
      <c r="C132" s="195">
        <v>20</v>
      </c>
      <c r="D132" s="195">
        <v>112</v>
      </c>
      <c r="E132" s="26"/>
      <c r="F132" s="201">
        <f t="shared" si="8"/>
        <v>1</v>
      </c>
      <c r="G132" s="201">
        <f t="shared" si="9"/>
        <v>1</v>
      </c>
      <c r="H132" s="201">
        <f t="shared" si="10"/>
        <v>1</v>
      </c>
      <c r="I132" s="201">
        <f t="shared" si="11"/>
        <v>1</v>
      </c>
      <c r="J132" s="220"/>
      <c r="L132" s="203" t="s">
        <v>468</v>
      </c>
      <c r="M132" s="204">
        <v>63</v>
      </c>
      <c r="N132" s="204">
        <v>42</v>
      </c>
      <c r="O132" s="206">
        <v>102</v>
      </c>
    </row>
    <row r="133" spans="1:15" ht="15.75" customHeight="1" x14ac:dyDescent="0.25">
      <c r="A133" s="223" t="s">
        <v>89</v>
      </c>
      <c r="B133" s="195">
        <v>36</v>
      </c>
      <c r="C133" s="195">
        <v>24</v>
      </c>
      <c r="D133" s="195">
        <v>126</v>
      </c>
      <c r="E133" s="26"/>
      <c r="F133" s="201">
        <f t="shared" si="8"/>
        <v>1</v>
      </c>
      <c r="G133" s="201">
        <f t="shared" si="9"/>
        <v>1</v>
      </c>
      <c r="H133" s="201">
        <f t="shared" si="10"/>
        <v>1</v>
      </c>
      <c r="I133" s="201">
        <f t="shared" si="11"/>
        <v>1</v>
      </c>
      <c r="J133" s="220"/>
      <c r="L133" s="203" t="s">
        <v>469</v>
      </c>
      <c r="M133" s="204">
        <v>35</v>
      </c>
      <c r="N133" s="204">
        <v>24</v>
      </c>
      <c r="O133" s="204">
        <v>86</v>
      </c>
    </row>
    <row r="134" spans="1:15" ht="15.75" customHeight="1" x14ac:dyDescent="0.25">
      <c r="A134" s="223" t="s">
        <v>90</v>
      </c>
      <c r="B134" s="195">
        <v>58</v>
      </c>
      <c r="C134" s="195">
        <v>39</v>
      </c>
      <c r="D134" s="195">
        <v>148</v>
      </c>
      <c r="E134" s="26"/>
      <c r="F134" s="201">
        <f t="shared" si="8"/>
        <v>1</v>
      </c>
      <c r="G134" s="201">
        <f t="shared" si="9"/>
        <v>1</v>
      </c>
      <c r="H134" s="201">
        <f t="shared" si="10"/>
        <v>1</v>
      </c>
      <c r="I134" s="201">
        <f t="shared" si="11"/>
        <v>1</v>
      </c>
      <c r="J134" s="220"/>
      <c r="L134" s="203" t="s">
        <v>470</v>
      </c>
      <c r="M134" s="204">
        <v>44</v>
      </c>
      <c r="N134" s="204">
        <v>29</v>
      </c>
      <c r="O134" s="206">
        <v>172</v>
      </c>
    </row>
    <row r="135" spans="1:15" ht="15.75" customHeight="1" x14ac:dyDescent="0.25">
      <c r="A135" s="223" t="s">
        <v>91</v>
      </c>
      <c r="B135" s="195">
        <v>46</v>
      </c>
      <c r="C135" s="195">
        <v>31</v>
      </c>
      <c r="D135" s="195">
        <v>105</v>
      </c>
      <c r="E135" s="26"/>
      <c r="F135" s="201">
        <f t="shared" si="8"/>
        <v>1</v>
      </c>
      <c r="G135" s="201">
        <f t="shared" si="9"/>
        <v>1</v>
      </c>
      <c r="H135" s="201">
        <f t="shared" si="10"/>
        <v>1</v>
      </c>
      <c r="I135" s="201">
        <f t="shared" si="11"/>
        <v>1</v>
      </c>
      <c r="J135" s="220"/>
      <c r="L135" s="203" t="s">
        <v>471</v>
      </c>
      <c r="M135" s="204">
        <v>48</v>
      </c>
      <c r="N135" s="204">
        <v>32</v>
      </c>
      <c r="O135" s="206">
        <v>177</v>
      </c>
    </row>
    <row r="136" spans="1:15" ht="15.75" customHeight="1" x14ac:dyDescent="0.25">
      <c r="A136" s="223" t="s">
        <v>92</v>
      </c>
      <c r="B136" s="195">
        <v>47</v>
      </c>
      <c r="C136" s="195">
        <v>32</v>
      </c>
      <c r="D136" s="195">
        <v>122</v>
      </c>
      <c r="E136" s="26"/>
      <c r="F136" s="201">
        <f t="shared" si="8"/>
        <v>1</v>
      </c>
      <c r="G136" s="201">
        <f t="shared" si="9"/>
        <v>1</v>
      </c>
      <c r="H136" s="201">
        <f t="shared" si="10"/>
        <v>1</v>
      </c>
      <c r="I136" s="201">
        <f t="shared" si="11"/>
        <v>1</v>
      </c>
      <c r="J136" s="220"/>
      <c r="L136" s="203" t="s">
        <v>472</v>
      </c>
      <c r="M136" s="204">
        <v>26</v>
      </c>
      <c r="N136" s="204">
        <v>17</v>
      </c>
      <c r="O136" s="205">
        <v>73</v>
      </c>
    </row>
    <row r="137" spans="1:15" ht="15.75" customHeight="1" x14ac:dyDescent="0.25">
      <c r="A137" s="223" t="s">
        <v>93</v>
      </c>
      <c r="B137" s="195">
        <v>42</v>
      </c>
      <c r="C137" s="195">
        <v>28</v>
      </c>
      <c r="D137" s="195">
        <v>131</v>
      </c>
      <c r="E137" s="26"/>
      <c r="F137" s="201">
        <f t="shared" si="8"/>
        <v>1</v>
      </c>
      <c r="G137" s="201">
        <f t="shared" si="9"/>
        <v>1</v>
      </c>
      <c r="H137" s="201">
        <f t="shared" si="10"/>
        <v>1</v>
      </c>
      <c r="I137" s="201">
        <f t="shared" si="11"/>
        <v>1</v>
      </c>
      <c r="J137" s="220"/>
      <c r="L137" s="203" t="s">
        <v>473</v>
      </c>
      <c r="M137" s="204">
        <v>52</v>
      </c>
      <c r="N137" s="204">
        <v>35</v>
      </c>
      <c r="O137" s="206">
        <v>187</v>
      </c>
    </row>
    <row r="138" spans="1:15" ht="15.75" customHeight="1" x14ac:dyDescent="0.25">
      <c r="A138" s="223" t="s">
        <v>94</v>
      </c>
      <c r="B138" s="195">
        <v>46</v>
      </c>
      <c r="C138" s="195">
        <v>31</v>
      </c>
      <c r="D138" s="195">
        <v>182</v>
      </c>
      <c r="E138" s="26"/>
      <c r="F138" s="201">
        <f t="shared" si="8"/>
        <v>1</v>
      </c>
      <c r="G138" s="201">
        <f t="shared" si="9"/>
        <v>1</v>
      </c>
      <c r="H138" s="201">
        <f t="shared" si="10"/>
        <v>1</v>
      </c>
      <c r="I138" s="201">
        <f t="shared" si="11"/>
        <v>1</v>
      </c>
      <c r="J138" s="220"/>
      <c r="L138" s="203" t="s">
        <v>474</v>
      </c>
      <c r="M138" s="204">
        <v>23</v>
      </c>
      <c r="N138" s="204">
        <v>16</v>
      </c>
      <c r="O138" s="205">
        <v>92</v>
      </c>
    </row>
    <row r="139" spans="1:15" ht="15.75" customHeight="1" x14ac:dyDescent="0.25">
      <c r="A139" s="228" t="s">
        <v>210</v>
      </c>
      <c r="B139" s="195">
        <v>27</v>
      </c>
      <c r="C139" s="195">
        <v>18</v>
      </c>
      <c r="D139" s="195">
        <v>89</v>
      </c>
      <c r="E139" s="26"/>
      <c r="F139" s="201">
        <f t="shared" si="8"/>
        <v>1</v>
      </c>
      <c r="G139" s="201">
        <f t="shared" si="9"/>
        <v>1</v>
      </c>
      <c r="H139" s="201">
        <f t="shared" si="10"/>
        <v>1</v>
      </c>
      <c r="I139" s="201">
        <f t="shared" si="11"/>
        <v>1</v>
      </c>
      <c r="J139" s="220"/>
      <c r="L139" s="203" t="s">
        <v>475</v>
      </c>
      <c r="M139" s="204">
        <v>32</v>
      </c>
      <c r="N139" s="204">
        <v>21</v>
      </c>
      <c r="O139" s="205">
        <v>85</v>
      </c>
    </row>
    <row r="140" spans="1:15" ht="15.75" customHeight="1" x14ac:dyDescent="0.25">
      <c r="A140" s="223" t="s">
        <v>95</v>
      </c>
      <c r="B140" s="195">
        <v>75</v>
      </c>
      <c r="C140" s="195">
        <v>50</v>
      </c>
      <c r="D140" s="195">
        <v>139</v>
      </c>
      <c r="E140" s="26"/>
      <c r="F140" s="201">
        <f t="shared" si="8"/>
        <v>1</v>
      </c>
      <c r="G140" s="201">
        <f t="shared" si="9"/>
        <v>1</v>
      </c>
      <c r="H140" s="201">
        <f t="shared" si="10"/>
        <v>1</v>
      </c>
      <c r="I140" s="201">
        <f t="shared" si="11"/>
        <v>1</v>
      </c>
      <c r="J140" s="220"/>
      <c r="L140" s="203" t="s">
        <v>476</v>
      </c>
      <c r="M140" s="204">
        <v>51</v>
      </c>
      <c r="N140" s="204">
        <v>34</v>
      </c>
      <c r="O140" s="206">
        <v>208</v>
      </c>
    </row>
    <row r="141" spans="1:15" ht="15.75" customHeight="1" x14ac:dyDescent="0.25">
      <c r="A141" s="223" t="s">
        <v>96</v>
      </c>
      <c r="B141" s="195">
        <v>50</v>
      </c>
      <c r="C141" s="195">
        <v>33</v>
      </c>
      <c r="D141" s="195">
        <v>117</v>
      </c>
      <c r="E141" s="26"/>
      <c r="F141" s="201">
        <f t="shared" si="8"/>
        <v>1</v>
      </c>
      <c r="G141" s="201">
        <f t="shared" si="9"/>
        <v>1</v>
      </c>
      <c r="H141" s="201">
        <f t="shared" si="10"/>
        <v>1</v>
      </c>
      <c r="I141" s="201">
        <f t="shared" si="11"/>
        <v>1</v>
      </c>
      <c r="J141" s="220"/>
      <c r="L141" s="203" t="s">
        <v>477</v>
      </c>
      <c r="M141" s="207">
        <v>23</v>
      </c>
      <c r="N141" s="207">
        <v>16</v>
      </c>
      <c r="O141" s="208">
        <v>103</v>
      </c>
    </row>
    <row r="142" spans="1:15" ht="15.75" customHeight="1" x14ac:dyDescent="0.25">
      <c r="A142" s="223" t="s">
        <v>97</v>
      </c>
      <c r="B142" s="195">
        <v>64</v>
      </c>
      <c r="C142" s="195">
        <v>43</v>
      </c>
      <c r="D142" s="195">
        <v>141</v>
      </c>
      <c r="E142" s="26"/>
      <c r="F142" s="201">
        <f t="shared" si="8"/>
        <v>1</v>
      </c>
      <c r="G142" s="201">
        <f t="shared" si="9"/>
        <v>1</v>
      </c>
      <c r="H142" s="201">
        <f t="shared" si="10"/>
        <v>1</v>
      </c>
      <c r="I142" s="201">
        <f t="shared" si="11"/>
        <v>1</v>
      </c>
      <c r="J142" s="220"/>
      <c r="L142" s="203" t="s">
        <v>478</v>
      </c>
      <c r="M142" s="204">
        <v>30</v>
      </c>
      <c r="N142" s="204">
        <v>20</v>
      </c>
      <c r="O142" s="206">
        <v>112</v>
      </c>
    </row>
    <row r="143" spans="1:15" ht="15.75" customHeight="1" x14ac:dyDescent="0.25">
      <c r="A143" s="223" t="s">
        <v>171</v>
      </c>
      <c r="B143" s="195">
        <v>23</v>
      </c>
      <c r="C143" s="195">
        <v>16</v>
      </c>
      <c r="D143" s="195">
        <v>238</v>
      </c>
      <c r="E143" s="26"/>
      <c r="F143" s="201">
        <f t="shared" si="8"/>
        <v>0</v>
      </c>
      <c r="G143" s="201">
        <f t="shared" si="9"/>
        <v>1</v>
      </c>
      <c r="H143" s="201">
        <f t="shared" si="10"/>
        <v>1</v>
      </c>
      <c r="I143" s="201">
        <f t="shared" si="11"/>
        <v>1</v>
      </c>
      <c r="J143" s="220" t="s">
        <v>622</v>
      </c>
      <c r="L143" s="203" t="s">
        <v>479</v>
      </c>
      <c r="M143" s="204">
        <v>36</v>
      </c>
      <c r="N143" s="204">
        <v>24</v>
      </c>
      <c r="O143" s="206">
        <v>126</v>
      </c>
    </row>
    <row r="144" spans="1:15" ht="15.75" customHeight="1" x14ac:dyDescent="0.25">
      <c r="A144" s="223" t="s">
        <v>172</v>
      </c>
      <c r="B144" s="195">
        <v>34</v>
      </c>
      <c r="C144" s="195">
        <v>23</v>
      </c>
      <c r="D144" s="195">
        <v>122</v>
      </c>
      <c r="E144" s="26"/>
      <c r="F144" s="201">
        <f t="shared" si="8"/>
        <v>0</v>
      </c>
      <c r="G144" s="201">
        <f t="shared" si="9"/>
        <v>0</v>
      </c>
      <c r="H144" s="201">
        <f t="shared" si="10"/>
        <v>0</v>
      </c>
      <c r="I144" s="201">
        <f t="shared" si="11"/>
        <v>0</v>
      </c>
      <c r="J144" s="220" t="s">
        <v>583</v>
      </c>
      <c r="L144" s="203" t="s">
        <v>480</v>
      </c>
      <c r="M144" s="204">
        <v>58</v>
      </c>
      <c r="N144" s="204">
        <v>39</v>
      </c>
      <c r="O144" s="206">
        <v>148</v>
      </c>
    </row>
    <row r="145" spans="1:15" ht="15.75" customHeight="1" x14ac:dyDescent="0.25">
      <c r="A145" s="223" t="s">
        <v>98</v>
      </c>
      <c r="B145" s="195">
        <v>51</v>
      </c>
      <c r="C145" s="195">
        <v>34</v>
      </c>
      <c r="D145" s="195">
        <v>193</v>
      </c>
      <c r="E145" s="26"/>
      <c r="F145" s="201">
        <f t="shared" si="8"/>
        <v>1</v>
      </c>
      <c r="G145" s="201">
        <f t="shared" si="9"/>
        <v>1</v>
      </c>
      <c r="H145" s="201">
        <f t="shared" si="10"/>
        <v>1</v>
      </c>
      <c r="I145" s="201">
        <f t="shared" si="11"/>
        <v>1</v>
      </c>
      <c r="J145" s="220"/>
      <c r="L145" s="203" t="s">
        <v>481</v>
      </c>
      <c r="M145" s="204">
        <v>46</v>
      </c>
      <c r="N145" s="204">
        <v>31</v>
      </c>
      <c r="O145" s="206">
        <v>105</v>
      </c>
    </row>
    <row r="146" spans="1:15" ht="15.75" customHeight="1" x14ac:dyDescent="0.25">
      <c r="A146" s="223" t="s">
        <v>99</v>
      </c>
      <c r="B146" s="195">
        <v>41</v>
      </c>
      <c r="C146" s="195">
        <v>28</v>
      </c>
      <c r="D146" s="195">
        <v>82</v>
      </c>
      <c r="E146" s="26"/>
      <c r="F146" s="201">
        <f t="shared" si="8"/>
        <v>1</v>
      </c>
      <c r="G146" s="201">
        <f t="shared" si="9"/>
        <v>1</v>
      </c>
      <c r="H146" s="201">
        <f t="shared" si="10"/>
        <v>1</v>
      </c>
      <c r="I146" s="201">
        <f t="shared" si="11"/>
        <v>1</v>
      </c>
      <c r="J146" s="220"/>
      <c r="L146" s="203" t="s">
        <v>482</v>
      </c>
      <c r="M146" s="204">
        <v>47</v>
      </c>
      <c r="N146" s="204">
        <v>32</v>
      </c>
      <c r="O146" s="206">
        <v>122</v>
      </c>
    </row>
    <row r="147" spans="1:15" ht="15.75" customHeight="1" x14ac:dyDescent="0.25">
      <c r="A147" s="223" t="s">
        <v>100</v>
      </c>
      <c r="B147" s="195">
        <v>59</v>
      </c>
      <c r="C147" s="195">
        <v>40</v>
      </c>
      <c r="D147" s="195">
        <v>159</v>
      </c>
      <c r="E147" s="26"/>
      <c r="F147" s="201">
        <f t="shared" si="8"/>
        <v>1</v>
      </c>
      <c r="G147" s="201">
        <f t="shared" si="9"/>
        <v>1</v>
      </c>
      <c r="H147" s="201">
        <f t="shared" si="10"/>
        <v>1</v>
      </c>
      <c r="I147" s="201">
        <f t="shared" si="11"/>
        <v>1</v>
      </c>
      <c r="J147" s="220"/>
      <c r="L147" s="203" t="s">
        <v>483</v>
      </c>
      <c r="M147" s="204">
        <v>42</v>
      </c>
      <c r="N147" s="204">
        <v>28</v>
      </c>
      <c r="O147" s="206">
        <v>131</v>
      </c>
    </row>
    <row r="148" spans="1:15" ht="15.75" customHeight="1" x14ac:dyDescent="0.25">
      <c r="A148" s="223" t="s">
        <v>101</v>
      </c>
      <c r="B148" s="195">
        <v>39</v>
      </c>
      <c r="C148" s="195">
        <v>26</v>
      </c>
      <c r="D148" s="195">
        <v>124</v>
      </c>
      <c r="E148" s="26"/>
      <c r="F148" s="201">
        <f t="shared" si="8"/>
        <v>1</v>
      </c>
      <c r="G148" s="201">
        <f t="shared" si="9"/>
        <v>1</v>
      </c>
      <c r="H148" s="201">
        <f t="shared" si="10"/>
        <v>1</v>
      </c>
      <c r="I148" s="201">
        <f t="shared" si="11"/>
        <v>1</v>
      </c>
      <c r="J148" s="220"/>
      <c r="L148" s="203" t="s">
        <v>484</v>
      </c>
      <c r="M148" s="204">
        <v>46</v>
      </c>
      <c r="N148" s="204">
        <v>31</v>
      </c>
      <c r="O148" s="206">
        <v>182</v>
      </c>
    </row>
    <row r="149" spans="1:15" ht="15.75" customHeight="1" x14ac:dyDescent="0.25">
      <c r="A149" s="223" t="s">
        <v>102</v>
      </c>
      <c r="B149" s="195">
        <v>34</v>
      </c>
      <c r="C149" s="195">
        <v>23</v>
      </c>
      <c r="D149" s="195">
        <v>143</v>
      </c>
      <c r="E149" s="26"/>
      <c r="F149" s="201">
        <f t="shared" si="8"/>
        <v>1</v>
      </c>
      <c r="G149" s="201">
        <f t="shared" si="9"/>
        <v>1</v>
      </c>
      <c r="H149" s="201">
        <f t="shared" si="10"/>
        <v>1</v>
      </c>
      <c r="I149" s="201">
        <f t="shared" si="11"/>
        <v>1</v>
      </c>
      <c r="J149" s="220"/>
      <c r="L149" s="203" t="s">
        <v>485</v>
      </c>
      <c r="M149" s="204">
        <v>27</v>
      </c>
      <c r="N149" s="204">
        <v>18</v>
      </c>
      <c r="O149" s="205">
        <v>89</v>
      </c>
    </row>
    <row r="150" spans="1:15" ht="15.75" customHeight="1" x14ac:dyDescent="0.25">
      <c r="A150" s="223" t="s">
        <v>103</v>
      </c>
      <c r="B150" s="195">
        <v>41</v>
      </c>
      <c r="C150" s="195">
        <v>28</v>
      </c>
      <c r="D150" s="195">
        <v>140</v>
      </c>
      <c r="E150" s="26"/>
      <c r="F150" s="201">
        <f t="shared" si="8"/>
        <v>1</v>
      </c>
      <c r="G150" s="201">
        <f t="shared" si="9"/>
        <v>1</v>
      </c>
      <c r="H150" s="201">
        <f t="shared" si="10"/>
        <v>1</v>
      </c>
      <c r="I150" s="201">
        <f t="shared" si="11"/>
        <v>1</v>
      </c>
      <c r="J150" s="220"/>
      <c r="L150" s="203" t="s">
        <v>486</v>
      </c>
      <c r="M150" s="204">
        <v>75</v>
      </c>
      <c r="N150" s="204">
        <v>50</v>
      </c>
      <c r="O150" s="206">
        <v>139</v>
      </c>
    </row>
    <row r="151" spans="1:15" ht="15.75" customHeight="1" x14ac:dyDescent="0.25">
      <c r="A151" s="223" t="s">
        <v>169</v>
      </c>
      <c r="B151" s="195">
        <v>34</v>
      </c>
      <c r="C151" s="195">
        <v>23</v>
      </c>
      <c r="D151" s="195">
        <v>124</v>
      </c>
      <c r="E151" s="26"/>
      <c r="F151" s="201">
        <f t="shared" ref="F151:F207" si="12">_xlfn.IFNA(IF(VLOOKUP(IF(J151="",A151,J151),$L$3:$O$330,1,FALSE)=A151,1,0),0)</f>
        <v>0</v>
      </c>
      <c r="G151" s="201">
        <f t="shared" ref="G151:G207" si="13">_xlfn.IFNA(IF(VLOOKUP(IF(J151="",A151,J151),$L$3:$O$330,2,FALSE)=B151,1,0),0)</f>
        <v>1</v>
      </c>
      <c r="H151" s="201">
        <f t="shared" ref="H151:H207" si="14">_xlfn.IFNA(IF(VLOOKUP(IF(J151="",A151,J151),$L$3:$O$330,3,FALSE)=C151,1,0),0)</f>
        <v>1</v>
      </c>
      <c r="I151" s="201">
        <f t="shared" ref="I151:I207" si="15">_xlfn.IFNA(IF(VLOOKUP(IF(J151="",A151,J151),$L$3:$O$330,4,FALSE)=D151,1,0),0)</f>
        <v>1</v>
      </c>
      <c r="J151" s="220" t="s">
        <v>625</v>
      </c>
      <c r="L151" s="203" t="s">
        <v>487</v>
      </c>
      <c r="M151" s="204">
        <v>50</v>
      </c>
      <c r="N151" s="204">
        <v>33</v>
      </c>
      <c r="O151" s="206">
        <v>117</v>
      </c>
    </row>
    <row r="152" spans="1:15" ht="15.75" customHeight="1" x14ac:dyDescent="0.25">
      <c r="A152" s="223" t="s">
        <v>168</v>
      </c>
      <c r="B152" s="195">
        <v>40</v>
      </c>
      <c r="C152" s="195">
        <v>27</v>
      </c>
      <c r="D152" s="195">
        <v>143</v>
      </c>
      <c r="E152" s="26"/>
      <c r="F152" s="201">
        <f t="shared" si="12"/>
        <v>0</v>
      </c>
      <c r="G152" s="201">
        <f t="shared" si="13"/>
        <v>1</v>
      </c>
      <c r="H152" s="201">
        <f t="shared" si="14"/>
        <v>1</v>
      </c>
      <c r="I152" s="201">
        <f t="shared" si="15"/>
        <v>1</v>
      </c>
      <c r="J152" s="220" t="s">
        <v>626</v>
      </c>
      <c r="L152" s="203" t="s">
        <v>488</v>
      </c>
      <c r="M152" s="204">
        <v>64</v>
      </c>
      <c r="N152" s="204">
        <v>43</v>
      </c>
      <c r="O152" s="206">
        <v>141</v>
      </c>
    </row>
    <row r="153" spans="1:15" ht="15.75" customHeight="1" x14ac:dyDescent="0.25">
      <c r="A153" s="223" t="s">
        <v>170</v>
      </c>
      <c r="B153" s="195">
        <v>34</v>
      </c>
      <c r="C153" s="195">
        <v>23</v>
      </c>
      <c r="D153" s="195">
        <v>124</v>
      </c>
      <c r="E153" s="26"/>
      <c r="F153" s="201">
        <f t="shared" si="12"/>
        <v>0</v>
      </c>
      <c r="G153" s="201">
        <f t="shared" si="13"/>
        <v>0</v>
      </c>
      <c r="H153" s="201">
        <f t="shared" si="14"/>
        <v>0</v>
      </c>
      <c r="I153" s="201">
        <f t="shared" si="15"/>
        <v>0</v>
      </c>
      <c r="J153" s="220" t="s">
        <v>583</v>
      </c>
      <c r="L153" s="203" t="s">
        <v>489</v>
      </c>
      <c r="M153" s="211"/>
      <c r="N153" s="211"/>
      <c r="O153" s="211"/>
    </row>
    <row r="154" spans="1:15" ht="15.75" customHeight="1" x14ac:dyDescent="0.25">
      <c r="A154" s="223" t="s">
        <v>104</v>
      </c>
      <c r="B154" s="195">
        <v>32</v>
      </c>
      <c r="C154" s="195">
        <v>21</v>
      </c>
      <c r="D154" s="195">
        <v>111</v>
      </c>
      <c r="E154" s="26"/>
      <c r="F154" s="201">
        <f t="shared" si="12"/>
        <v>1</v>
      </c>
      <c r="G154" s="201">
        <f t="shared" si="13"/>
        <v>1</v>
      </c>
      <c r="H154" s="201">
        <f t="shared" si="14"/>
        <v>1</v>
      </c>
      <c r="I154" s="201">
        <f t="shared" si="15"/>
        <v>1</v>
      </c>
      <c r="J154" s="220"/>
      <c r="L154" s="203" t="s">
        <v>490</v>
      </c>
      <c r="M154" s="204">
        <v>23</v>
      </c>
      <c r="N154" s="204">
        <v>16</v>
      </c>
      <c r="O154" s="206">
        <v>238</v>
      </c>
    </row>
    <row r="155" spans="1:15" ht="15.75" customHeight="1" x14ac:dyDescent="0.25">
      <c r="A155" s="223" t="s">
        <v>105</v>
      </c>
      <c r="B155" s="195">
        <v>44</v>
      </c>
      <c r="C155" s="195">
        <v>29</v>
      </c>
      <c r="D155" s="195">
        <v>117</v>
      </c>
      <c r="E155" s="26"/>
      <c r="F155" s="201">
        <f t="shared" si="12"/>
        <v>1</v>
      </c>
      <c r="G155" s="201">
        <f t="shared" si="13"/>
        <v>1</v>
      </c>
      <c r="H155" s="201">
        <f t="shared" si="14"/>
        <v>1</v>
      </c>
      <c r="I155" s="201">
        <f t="shared" si="15"/>
        <v>1</v>
      </c>
      <c r="J155" s="220"/>
      <c r="L155" s="203" t="s">
        <v>365</v>
      </c>
      <c r="M155" s="204">
        <v>34</v>
      </c>
      <c r="N155" s="204">
        <v>23</v>
      </c>
      <c r="O155" s="206">
        <v>122</v>
      </c>
    </row>
    <row r="156" spans="1:15" ht="15.75" customHeight="1" x14ac:dyDescent="0.25">
      <c r="A156" s="223" t="s">
        <v>166</v>
      </c>
      <c r="B156" s="195">
        <v>32</v>
      </c>
      <c r="C156" s="195">
        <v>21</v>
      </c>
      <c r="D156" s="195">
        <v>92</v>
      </c>
      <c r="E156" s="26"/>
      <c r="F156" s="201">
        <f t="shared" si="12"/>
        <v>0</v>
      </c>
      <c r="G156" s="201">
        <f t="shared" si="13"/>
        <v>1</v>
      </c>
      <c r="H156" s="201">
        <f t="shared" si="14"/>
        <v>1</v>
      </c>
      <c r="I156" s="201">
        <f t="shared" si="15"/>
        <v>1</v>
      </c>
      <c r="J156" s="220" t="s">
        <v>627</v>
      </c>
      <c r="L156" s="203" t="s">
        <v>491</v>
      </c>
      <c r="M156" s="204">
        <v>51</v>
      </c>
      <c r="N156" s="204">
        <v>34</v>
      </c>
      <c r="O156" s="208">
        <v>193</v>
      </c>
    </row>
    <row r="157" spans="1:15" ht="15.75" customHeight="1" x14ac:dyDescent="0.25">
      <c r="A157" s="223" t="s">
        <v>167</v>
      </c>
      <c r="B157" s="195">
        <v>27</v>
      </c>
      <c r="C157" s="195">
        <v>18</v>
      </c>
      <c r="D157" s="195">
        <v>89</v>
      </c>
      <c r="E157" s="26"/>
      <c r="F157" s="201">
        <f t="shared" si="12"/>
        <v>0</v>
      </c>
      <c r="G157" s="201">
        <f t="shared" si="13"/>
        <v>0</v>
      </c>
      <c r="H157" s="201">
        <f t="shared" si="14"/>
        <v>0</v>
      </c>
      <c r="I157" s="201">
        <f t="shared" si="15"/>
        <v>0</v>
      </c>
      <c r="J157" s="220" t="s">
        <v>583</v>
      </c>
      <c r="L157" s="203" t="s">
        <v>492</v>
      </c>
      <c r="M157" s="204">
        <v>41</v>
      </c>
      <c r="N157" s="204">
        <v>28</v>
      </c>
      <c r="O157" s="205">
        <v>82</v>
      </c>
    </row>
    <row r="158" spans="1:15" ht="15.75" customHeight="1" x14ac:dyDescent="0.25">
      <c r="A158" s="223" t="s">
        <v>164</v>
      </c>
      <c r="B158" s="195">
        <v>30</v>
      </c>
      <c r="C158" s="195">
        <v>20</v>
      </c>
      <c r="D158" s="195">
        <v>235</v>
      </c>
      <c r="E158" s="26"/>
      <c r="F158" s="201">
        <f t="shared" si="12"/>
        <v>0</v>
      </c>
      <c r="G158" s="201">
        <f t="shared" si="13"/>
        <v>1</v>
      </c>
      <c r="H158" s="201">
        <f t="shared" si="14"/>
        <v>1</v>
      </c>
      <c r="I158" s="201">
        <f t="shared" si="15"/>
        <v>1</v>
      </c>
      <c r="J158" s="220" t="s">
        <v>628</v>
      </c>
      <c r="L158" s="203" t="s">
        <v>493</v>
      </c>
      <c r="M158" s="204">
        <v>59</v>
      </c>
      <c r="N158" s="204">
        <v>40</v>
      </c>
      <c r="O158" s="206">
        <v>159</v>
      </c>
    </row>
    <row r="159" spans="1:15" ht="15.75" customHeight="1" x14ac:dyDescent="0.25">
      <c r="A159" s="225" t="s">
        <v>208</v>
      </c>
      <c r="B159" s="195">
        <v>28</v>
      </c>
      <c r="C159" s="195">
        <v>19</v>
      </c>
      <c r="D159" s="195">
        <v>133</v>
      </c>
      <c r="E159" s="26"/>
      <c r="F159" s="201">
        <f t="shared" si="12"/>
        <v>0</v>
      </c>
      <c r="G159" s="201">
        <f t="shared" si="13"/>
        <v>1</v>
      </c>
      <c r="H159" s="201">
        <f t="shared" si="14"/>
        <v>1</v>
      </c>
      <c r="I159" s="201">
        <f t="shared" si="15"/>
        <v>1</v>
      </c>
      <c r="J159" s="220" t="s">
        <v>629</v>
      </c>
      <c r="L159" s="203" t="s">
        <v>494</v>
      </c>
      <c r="M159" s="204">
        <v>39</v>
      </c>
      <c r="N159" s="204">
        <v>26</v>
      </c>
      <c r="O159" s="206">
        <v>124</v>
      </c>
    </row>
    <row r="160" spans="1:15" ht="15.75" customHeight="1" x14ac:dyDescent="0.25">
      <c r="A160" s="223" t="s">
        <v>165</v>
      </c>
      <c r="B160" s="195">
        <v>28</v>
      </c>
      <c r="C160" s="195">
        <v>19</v>
      </c>
      <c r="D160" s="195">
        <v>133</v>
      </c>
      <c r="E160" s="26"/>
      <c r="F160" s="201">
        <f t="shared" si="12"/>
        <v>0</v>
      </c>
      <c r="G160" s="201">
        <f t="shared" si="13"/>
        <v>0</v>
      </c>
      <c r="H160" s="201">
        <f t="shared" si="14"/>
        <v>0</v>
      </c>
      <c r="I160" s="201">
        <f t="shared" si="15"/>
        <v>0</v>
      </c>
      <c r="J160" s="220" t="s">
        <v>583</v>
      </c>
      <c r="L160" s="203" t="s">
        <v>495</v>
      </c>
      <c r="M160" s="204">
        <v>34</v>
      </c>
      <c r="N160" s="204">
        <v>23</v>
      </c>
      <c r="O160" s="206">
        <v>143</v>
      </c>
    </row>
    <row r="161" spans="1:15" ht="15.75" customHeight="1" x14ac:dyDescent="0.25">
      <c r="A161" s="223" t="s">
        <v>106</v>
      </c>
      <c r="B161" s="195">
        <v>38</v>
      </c>
      <c r="C161" s="195">
        <v>25</v>
      </c>
      <c r="D161" s="195">
        <v>105</v>
      </c>
      <c r="E161" s="26"/>
      <c r="F161" s="201">
        <f t="shared" si="12"/>
        <v>1</v>
      </c>
      <c r="G161" s="201">
        <f t="shared" si="13"/>
        <v>1</v>
      </c>
      <c r="H161" s="201">
        <f t="shared" si="14"/>
        <v>1</v>
      </c>
      <c r="I161" s="201">
        <f t="shared" si="15"/>
        <v>1</v>
      </c>
      <c r="J161" s="220"/>
      <c r="L161" s="203" t="s">
        <v>496</v>
      </c>
      <c r="M161" s="204">
        <v>41</v>
      </c>
      <c r="N161" s="204">
        <v>28</v>
      </c>
      <c r="O161" s="206">
        <v>140</v>
      </c>
    </row>
    <row r="162" spans="1:15" ht="15.75" customHeight="1" x14ac:dyDescent="0.25">
      <c r="A162" s="223" t="s">
        <v>107</v>
      </c>
      <c r="B162" s="195">
        <v>39</v>
      </c>
      <c r="C162" s="195">
        <v>26</v>
      </c>
      <c r="D162" s="195">
        <v>105</v>
      </c>
      <c r="E162" s="26"/>
      <c r="F162" s="201">
        <f t="shared" si="12"/>
        <v>1</v>
      </c>
      <c r="G162" s="201">
        <f t="shared" si="13"/>
        <v>1</v>
      </c>
      <c r="H162" s="201">
        <f t="shared" si="14"/>
        <v>1</v>
      </c>
      <c r="I162" s="201">
        <f t="shared" si="15"/>
        <v>1</v>
      </c>
      <c r="J162" s="220"/>
      <c r="L162" s="203" t="s">
        <v>497</v>
      </c>
      <c r="M162" s="211"/>
      <c r="N162" s="211"/>
      <c r="O162" s="211"/>
    </row>
    <row r="163" spans="1:15" ht="15.75" customHeight="1" x14ac:dyDescent="0.25">
      <c r="A163" s="223" t="s">
        <v>108</v>
      </c>
      <c r="B163" s="195">
        <v>34</v>
      </c>
      <c r="C163" s="195">
        <v>23</v>
      </c>
      <c r="D163" s="195">
        <v>79</v>
      </c>
      <c r="E163" s="26"/>
      <c r="F163" s="201">
        <f t="shared" si="12"/>
        <v>1</v>
      </c>
      <c r="G163" s="201">
        <f t="shared" si="13"/>
        <v>1</v>
      </c>
      <c r="H163" s="201">
        <f t="shared" si="14"/>
        <v>1</v>
      </c>
      <c r="I163" s="201">
        <f t="shared" si="15"/>
        <v>1</v>
      </c>
      <c r="J163" s="220"/>
      <c r="L163" s="203" t="s">
        <v>498</v>
      </c>
      <c r="M163" s="207">
        <v>34</v>
      </c>
      <c r="N163" s="207">
        <v>23</v>
      </c>
      <c r="O163" s="208">
        <v>124</v>
      </c>
    </row>
    <row r="164" spans="1:15" ht="15.75" customHeight="1" x14ac:dyDescent="0.25">
      <c r="A164" s="223" t="s">
        <v>211</v>
      </c>
      <c r="B164" s="195">
        <v>36</v>
      </c>
      <c r="C164" s="195">
        <v>24</v>
      </c>
      <c r="D164" s="195">
        <v>147</v>
      </c>
      <c r="E164" s="26"/>
      <c r="F164" s="201">
        <f t="shared" si="12"/>
        <v>1</v>
      </c>
      <c r="G164" s="201">
        <f t="shared" si="13"/>
        <v>1</v>
      </c>
      <c r="H164" s="201">
        <f t="shared" si="14"/>
        <v>1</v>
      </c>
      <c r="I164" s="201">
        <f t="shared" si="15"/>
        <v>1</v>
      </c>
      <c r="J164" s="220"/>
      <c r="L164" s="203" t="s">
        <v>499</v>
      </c>
      <c r="M164" s="207">
        <v>40</v>
      </c>
      <c r="N164" s="207">
        <v>27</v>
      </c>
      <c r="O164" s="208">
        <v>143</v>
      </c>
    </row>
    <row r="165" spans="1:15" ht="15.75" customHeight="1" x14ac:dyDescent="0.25">
      <c r="A165" s="224" t="s">
        <v>630</v>
      </c>
      <c r="B165" s="195">
        <v>57</v>
      </c>
      <c r="C165" s="195">
        <v>38</v>
      </c>
      <c r="D165" s="195">
        <v>181</v>
      </c>
      <c r="E165" s="26"/>
      <c r="F165" s="201">
        <f t="shared" si="12"/>
        <v>0</v>
      </c>
      <c r="G165" s="201">
        <f t="shared" si="13"/>
        <v>1</v>
      </c>
      <c r="H165" s="201">
        <f t="shared" si="14"/>
        <v>1</v>
      </c>
      <c r="I165" s="201">
        <f t="shared" si="15"/>
        <v>1</v>
      </c>
      <c r="J165" s="220" t="s">
        <v>633</v>
      </c>
      <c r="L165" s="203" t="s">
        <v>365</v>
      </c>
      <c r="M165" s="207">
        <v>34</v>
      </c>
      <c r="N165" s="207">
        <v>23</v>
      </c>
      <c r="O165" s="208">
        <v>124</v>
      </c>
    </row>
    <row r="166" spans="1:15" ht="15.75" customHeight="1" x14ac:dyDescent="0.25">
      <c r="A166" s="224" t="s">
        <v>631</v>
      </c>
      <c r="B166" s="195">
        <v>56</v>
      </c>
      <c r="C166" s="195">
        <v>37</v>
      </c>
      <c r="D166" s="195">
        <v>186</v>
      </c>
      <c r="E166" s="26"/>
      <c r="F166" s="201">
        <f t="shared" si="12"/>
        <v>0</v>
      </c>
      <c r="G166" s="201">
        <f t="shared" si="13"/>
        <v>1</v>
      </c>
      <c r="H166" s="201">
        <f t="shared" si="14"/>
        <v>1</v>
      </c>
      <c r="I166" s="201">
        <f t="shared" si="15"/>
        <v>1</v>
      </c>
      <c r="J166" s="220" t="s">
        <v>634</v>
      </c>
      <c r="L166" s="203" t="s">
        <v>500</v>
      </c>
      <c r="M166" s="204">
        <v>32</v>
      </c>
      <c r="N166" s="204">
        <v>21</v>
      </c>
      <c r="O166" s="206">
        <v>111</v>
      </c>
    </row>
    <row r="167" spans="1:15" ht="15.75" customHeight="1" x14ac:dyDescent="0.25">
      <c r="A167" s="224" t="s">
        <v>632</v>
      </c>
      <c r="B167" s="195">
        <v>56</v>
      </c>
      <c r="C167" s="195">
        <v>37</v>
      </c>
      <c r="D167" s="195">
        <v>181</v>
      </c>
      <c r="E167" s="26"/>
      <c r="F167" s="201">
        <f t="shared" si="12"/>
        <v>0</v>
      </c>
      <c r="G167" s="201">
        <f t="shared" si="13"/>
        <v>0</v>
      </c>
      <c r="H167" s="201">
        <f t="shared" si="14"/>
        <v>0</v>
      </c>
      <c r="I167" s="201">
        <f t="shared" si="15"/>
        <v>0</v>
      </c>
      <c r="J167" s="220" t="s">
        <v>583</v>
      </c>
      <c r="L167" s="203" t="s">
        <v>501</v>
      </c>
      <c r="M167" s="204">
        <v>44</v>
      </c>
      <c r="N167" s="204">
        <v>29</v>
      </c>
      <c r="O167" s="206">
        <v>117</v>
      </c>
    </row>
    <row r="168" spans="1:15" ht="15.75" customHeight="1" x14ac:dyDescent="0.25">
      <c r="A168" s="223" t="s">
        <v>109</v>
      </c>
      <c r="B168" s="195">
        <v>66</v>
      </c>
      <c r="C168" s="195">
        <v>44</v>
      </c>
      <c r="D168" s="195">
        <v>140</v>
      </c>
      <c r="E168" s="26"/>
      <c r="F168" s="201">
        <f t="shared" si="12"/>
        <v>1</v>
      </c>
      <c r="G168" s="201">
        <f t="shared" si="13"/>
        <v>1</v>
      </c>
      <c r="H168" s="201">
        <f t="shared" si="14"/>
        <v>1</v>
      </c>
      <c r="I168" s="201">
        <f t="shared" si="15"/>
        <v>1</v>
      </c>
      <c r="J168" s="220"/>
      <c r="L168" s="203" t="s">
        <v>502</v>
      </c>
      <c r="M168" s="211"/>
      <c r="N168" s="211"/>
      <c r="O168" s="211"/>
    </row>
    <row r="169" spans="1:15" ht="15.75" customHeight="1" x14ac:dyDescent="0.25">
      <c r="A169" s="223" t="s">
        <v>162</v>
      </c>
      <c r="B169" s="195">
        <v>66</v>
      </c>
      <c r="C169" s="195">
        <v>44</v>
      </c>
      <c r="D169" s="195">
        <v>186</v>
      </c>
      <c r="E169" s="26"/>
      <c r="F169" s="201">
        <f t="shared" si="12"/>
        <v>0</v>
      </c>
      <c r="G169" s="201">
        <f t="shared" si="13"/>
        <v>1</v>
      </c>
      <c r="H169" s="201">
        <f t="shared" si="14"/>
        <v>1</v>
      </c>
      <c r="I169" s="201">
        <f t="shared" si="15"/>
        <v>1</v>
      </c>
      <c r="J169" s="220" t="s">
        <v>635</v>
      </c>
      <c r="L169" s="203" t="s">
        <v>503</v>
      </c>
      <c r="M169" s="204">
        <v>32</v>
      </c>
      <c r="N169" s="204">
        <v>21</v>
      </c>
      <c r="O169" s="205">
        <v>92</v>
      </c>
    </row>
    <row r="170" spans="1:15" ht="15.75" customHeight="1" x14ac:dyDescent="0.25">
      <c r="A170" s="223" t="s">
        <v>163</v>
      </c>
      <c r="B170" s="195">
        <v>64</v>
      </c>
      <c r="C170" s="195">
        <v>43</v>
      </c>
      <c r="D170" s="195">
        <v>180</v>
      </c>
      <c r="E170" s="26"/>
      <c r="F170" s="201">
        <f t="shared" si="12"/>
        <v>0</v>
      </c>
      <c r="G170" s="201">
        <f t="shared" si="13"/>
        <v>0</v>
      </c>
      <c r="H170" s="201">
        <f t="shared" si="14"/>
        <v>0</v>
      </c>
      <c r="I170" s="201">
        <f t="shared" si="15"/>
        <v>0</v>
      </c>
      <c r="J170" s="220" t="s">
        <v>583</v>
      </c>
      <c r="L170" s="203" t="s">
        <v>365</v>
      </c>
      <c r="M170" s="204">
        <v>27</v>
      </c>
      <c r="N170" s="204">
        <v>18</v>
      </c>
      <c r="O170" s="205">
        <v>89</v>
      </c>
    </row>
    <row r="171" spans="1:15" ht="15.75" customHeight="1" x14ac:dyDescent="0.25">
      <c r="A171" s="223" t="s">
        <v>110</v>
      </c>
      <c r="B171" s="195">
        <v>42</v>
      </c>
      <c r="C171" s="195">
        <v>28</v>
      </c>
      <c r="D171" s="195">
        <v>190</v>
      </c>
      <c r="E171" s="26"/>
      <c r="F171" s="201">
        <f t="shared" si="12"/>
        <v>1</v>
      </c>
      <c r="G171" s="201">
        <f t="shared" si="13"/>
        <v>1</v>
      </c>
      <c r="H171" s="201">
        <f t="shared" si="14"/>
        <v>1</v>
      </c>
      <c r="I171" s="201">
        <f t="shared" si="15"/>
        <v>1</v>
      </c>
      <c r="J171" s="220"/>
      <c r="L171" s="203" t="s">
        <v>504</v>
      </c>
      <c r="M171" s="211"/>
      <c r="N171" s="211"/>
      <c r="O171" s="211"/>
    </row>
    <row r="172" spans="1:15" ht="15.75" customHeight="1" x14ac:dyDescent="0.25">
      <c r="A172" s="223" t="s">
        <v>111</v>
      </c>
      <c r="B172" s="195">
        <v>27</v>
      </c>
      <c r="C172" s="195">
        <v>18</v>
      </c>
      <c r="D172" s="195">
        <v>97</v>
      </c>
      <c r="E172" s="26"/>
      <c r="F172" s="201">
        <f t="shared" si="12"/>
        <v>1</v>
      </c>
      <c r="G172" s="201">
        <f t="shared" si="13"/>
        <v>1</v>
      </c>
      <c r="H172" s="201">
        <f t="shared" si="14"/>
        <v>1</v>
      </c>
      <c r="I172" s="201">
        <f t="shared" si="15"/>
        <v>1</v>
      </c>
      <c r="J172" s="220"/>
      <c r="L172" s="203" t="s">
        <v>505</v>
      </c>
      <c r="M172" s="204">
        <v>30</v>
      </c>
      <c r="N172" s="204">
        <v>20</v>
      </c>
      <c r="O172" s="208">
        <v>235</v>
      </c>
    </row>
    <row r="173" spans="1:15" ht="15.75" customHeight="1" x14ac:dyDescent="0.25">
      <c r="A173" s="223" t="s">
        <v>112</v>
      </c>
      <c r="B173" s="195">
        <v>57</v>
      </c>
      <c r="C173" s="195">
        <v>38</v>
      </c>
      <c r="D173" s="195">
        <v>145</v>
      </c>
      <c r="E173" s="26"/>
      <c r="F173" s="201">
        <f t="shared" si="12"/>
        <v>1</v>
      </c>
      <c r="G173" s="201">
        <f t="shared" si="13"/>
        <v>1</v>
      </c>
      <c r="H173" s="201">
        <f t="shared" si="14"/>
        <v>1</v>
      </c>
      <c r="I173" s="201">
        <f t="shared" si="15"/>
        <v>1</v>
      </c>
      <c r="J173" s="220"/>
      <c r="L173" s="203" t="s">
        <v>506</v>
      </c>
      <c r="M173" s="207">
        <v>28</v>
      </c>
      <c r="N173" s="207">
        <v>19</v>
      </c>
      <c r="O173" s="208">
        <v>133</v>
      </c>
    </row>
    <row r="174" spans="1:15" ht="15.75" customHeight="1" x14ac:dyDescent="0.25">
      <c r="A174" s="223" t="s">
        <v>113</v>
      </c>
      <c r="B174" s="195">
        <v>63</v>
      </c>
      <c r="C174" s="195">
        <v>42</v>
      </c>
      <c r="D174" s="195">
        <v>198</v>
      </c>
      <c r="E174" s="26"/>
      <c r="F174" s="201">
        <f t="shared" si="12"/>
        <v>1</v>
      </c>
      <c r="G174" s="201">
        <f t="shared" si="13"/>
        <v>1</v>
      </c>
      <c r="H174" s="201">
        <f t="shared" si="14"/>
        <v>1</v>
      </c>
      <c r="I174" s="201">
        <f t="shared" si="15"/>
        <v>1</v>
      </c>
      <c r="J174" s="220"/>
      <c r="L174" s="203" t="s">
        <v>365</v>
      </c>
      <c r="M174" s="207">
        <v>28</v>
      </c>
      <c r="N174" s="207">
        <v>19</v>
      </c>
      <c r="O174" s="208">
        <v>133</v>
      </c>
    </row>
    <row r="175" spans="1:15" ht="15.75" customHeight="1" x14ac:dyDescent="0.25">
      <c r="A175" s="223" t="s">
        <v>114</v>
      </c>
      <c r="B175" s="195">
        <v>71</v>
      </c>
      <c r="C175" s="195">
        <v>48</v>
      </c>
      <c r="D175" s="195">
        <v>277</v>
      </c>
      <c r="E175" s="26"/>
      <c r="F175" s="201">
        <f t="shared" si="12"/>
        <v>1</v>
      </c>
      <c r="G175" s="201">
        <f t="shared" si="13"/>
        <v>1</v>
      </c>
      <c r="H175" s="201">
        <f t="shared" si="14"/>
        <v>1</v>
      </c>
      <c r="I175" s="201">
        <f t="shared" si="15"/>
        <v>1</v>
      </c>
      <c r="J175" s="220"/>
      <c r="L175" s="203" t="s">
        <v>507</v>
      </c>
      <c r="M175" s="204">
        <v>38</v>
      </c>
      <c r="N175" s="204">
        <v>25</v>
      </c>
      <c r="O175" s="206">
        <v>105</v>
      </c>
    </row>
    <row r="176" spans="1:15" ht="15.75" customHeight="1" x14ac:dyDescent="0.25">
      <c r="A176" s="223" t="s">
        <v>115</v>
      </c>
      <c r="B176" s="195">
        <v>33</v>
      </c>
      <c r="C176" s="195">
        <v>22</v>
      </c>
      <c r="D176" s="195">
        <v>121</v>
      </c>
      <c r="E176" s="26"/>
      <c r="F176" s="201">
        <f t="shared" si="12"/>
        <v>1</v>
      </c>
      <c r="G176" s="201">
        <f t="shared" si="13"/>
        <v>1</v>
      </c>
      <c r="H176" s="201">
        <f t="shared" si="14"/>
        <v>1</v>
      </c>
      <c r="I176" s="201">
        <f t="shared" si="15"/>
        <v>1</v>
      </c>
      <c r="J176" s="220"/>
      <c r="L176" s="203" t="s">
        <v>508</v>
      </c>
      <c r="M176" s="204">
        <v>39</v>
      </c>
      <c r="N176" s="204">
        <v>26</v>
      </c>
      <c r="O176" s="206">
        <v>105</v>
      </c>
    </row>
    <row r="177" spans="1:15" ht="15.75" customHeight="1" x14ac:dyDescent="0.25">
      <c r="A177" s="223" t="s">
        <v>116</v>
      </c>
      <c r="B177" s="195">
        <v>38</v>
      </c>
      <c r="C177" s="195">
        <v>25</v>
      </c>
      <c r="D177" s="195">
        <v>126</v>
      </c>
      <c r="E177" s="26"/>
      <c r="F177" s="201">
        <f t="shared" si="12"/>
        <v>1</v>
      </c>
      <c r="G177" s="201">
        <f t="shared" si="13"/>
        <v>1</v>
      </c>
      <c r="H177" s="201">
        <f t="shared" si="14"/>
        <v>1</v>
      </c>
      <c r="I177" s="201">
        <f t="shared" si="15"/>
        <v>1</v>
      </c>
      <c r="J177" s="220"/>
      <c r="L177" s="203" t="s">
        <v>509</v>
      </c>
      <c r="M177" s="204">
        <v>34</v>
      </c>
      <c r="N177" s="204">
        <v>23</v>
      </c>
      <c r="O177" s="205">
        <v>79</v>
      </c>
    </row>
    <row r="178" spans="1:15" ht="15.75" customHeight="1" x14ac:dyDescent="0.25">
      <c r="A178" s="223" t="s">
        <v>160</v>
      </c>
      <c r="B178" s="195">
        <v>34</v>
      </c>
      <c r="C178" s="195">
        <v>23</v>
      </c>
      <c r="D178" s="195">
        <v>144</v>
      </c>
      <c r="E178" s="26"/>
      <c r="F178" s="201">
        <f t="shared" si="12"/>
        <v>0</v>
      </c>
      <c r="G178" s="201">
        <f t="shared" si="13"/>
        <v>1</v>
      </c>
      <c r="H178" s="201">
        <f t="shared" si="14"/>
        <v>1</v>
      </c>
      <c r="I178" s="201">
        <f t="shared" si="15"/>
        <v>1</v>
      </c>
      <c r="J178" s="220" t="s">
        <v>636</v>
      </c>
      <c r="L178" s="203" t="s">
        <v>510</v>
      </c>
      <c r="M178" s="207">
        <v>36</v>
      </c>
      <c r="N178" s="207">
        <v>24</v>
      </c>
      <c r="O178" s="208">
        <v>147</v>
      </c>
    </row>
    <row r="179" spans="1:15" ht="15.75" customHeight="1" x14ac:dyDescent="0.25">
      <c r="A179" s="223" t="s">
        <v>159</v>
      </c>
      <c r="B179" s="195">
        <v>36</v>
      </c>
      <c r="C179" s="195">
        <v>24</v>
      </c>
      <c r="D179" s="195">
        <v>103</v>
      </c>
      <c r="E179" s="26"/>
      <c r="F179" s="201">
        <f t="shared" si="12"/>
        <v>0</v>
      </c>
      <c r="G179" s="201">
        <f t="shared" si="13"/>
        <v>1</v>
      </c>
      <c r="H179" s="201">
        <f t="shared" si="14"/>
        <v>1</v>
      </c>
      <c r="I179" s="201">
        <f t="shared" si="15"/>
        <v>1</v>
      </c>
      <c r="J179" s="220" t="s">
        <v>637</v>
      </c>
      <c r="L179" s="203" t="s">
        <v>511</v>
      </c>
      <c r="M179" s="211"/>
      <c r="N179" s="211"/>
      <c r="O179" s="211"/>
    </row>
    <row r="180" spans="1:15" ht="15.75" customHeight="1" x14ac:dyDescent="0.25">
      <c r="A180" s="223" t="s">
        <v>158</v>
      </c>
      <c r="B180" s="195">
        <v>42</v>
      </c>
      <c r="C180" s="195">
        <v>28</v>
      </c>
      <c r="D180" s="195">
        <v>131</v>
      </c>
      <c r="E180" s="26"/>
      <c r="F180" s="201">
        <f t="shared" si="12"/>
        <v>0</v>
      </c>
      <c r="G180" s="201">
        <f t="shared" si="13"/>
        <v>1</v>
      </c>
      <c r="H180" s="201">
        <f t="shared" si="14"/>
        <v>1</v>
      </c>
      <c r="I180" s="201">
        <f t="shared" si="15"/>
        <v>1</v>
      </c>
      <c r="J180" s="220" t="s">
        <v>638</v>
      </c>
      <c r="L180" s="203" t="s">
        <v>512</v>
      </c>
      <c r="M180" s="204">
        <v>57</v>
      </c>
      <c r="N180" s="204">
        <v>38</v>
      </c>
      <c r="O180" s="206">
        <v>181</v>
      </c>
    </row>
    <row r="181" spans="1:15" ht="15.75" customHeight="1" x14ac:dyDescent="0.25">
      <c r="A181" s="223" t="s">
        <v>157</v>
      </c>
      <c r="B181" s="195">
        <v>44</v>
      </c>
      <c r="C181" s="195">
        <v>29</v>
      </c>
      <c r="D181" s="195">
        <v>142</v>
      </c>
      <c r="E181" s="26"/>
      <c r="F181" s="201">
        <f t="shared" si="12"/>
        <v>0</v>
      </c>
      <c r="G181" s="201">
        <f t="shared" si="13"/>
        <v>1</v>
      </c>
      <c r="H181" s="201">
        <f t="shared" si="14"/>
        <v>1</v>
      </c>
      <c r="I181" s="201">
        <f t="shared" si="15"/>
        <v>1</v>
      </c>
      <c r="J181" s="220" t="s">
        <v>639</v>
      </c>
      <c r="L181" s="203" t="s">
        <v>513</v>
      </c>
      <c r="M181" s="204">
        <v>56</v>
      </c>
      <c r="N181" s="204">
        <v>37</v>
      </c>
      <c r="O181" s="206">
        <v>186</v>
      </c>
    </row>
    <row r="182" spans="1:15" ht="15.75" customHeight="1" x14ac:dyDescent="0.25">
      <c r="A182" s="223" t="s">
        <v>161</v>
      </c>
      <c r="B182" s="195">
        <v>34</v>
      </c>
      <c r="C182" s="195">
        <v>23</v>
      </c>
      <c r="D182" s="195">
        <v>103</v>
      </c>
      <c r="E182" s="26"/>
      <c r="F182" s="201">
        <f t="shared" si="12"/>
        <v>0</v>
      </c>
      <c r="G182" s="201">
        <f t="shared" si="13"/>
        <v>0</v>
      </c>
      <c r="H182" s="201">
        <f t="shared" si="14"/>
        <v>0</v>
      </c>
      <c r="I182" s="201">
        <f t="shared" si="15"/>
        <v>0</v>
      </c>
      <c r="J182" s="220" t="s">
        <v>583</v>
      </c>
      <c r="L182" s="203" t="s">
        <v>365</v>
      </c>
      <c r="M182" s="204">
        <v>56</v>
      </c>
      <c r="N182" s="204">
        <v>37</v>
      </c>
      <c r="O182" s="206">
        <v>181</v>
      </c>
    </row>
    <row r="183" spans="1:15" ht="15.75" customHeight="1" x14ac:dyDescent="0.25">
      <c r="A183" s="223" t="s">
        <v>640</v>
      </c>
      <c r="B183" s="195">
        <v>36</v>
      </c>
      <c r="C183" s="195">
        <v>24</v>
      </c>
      <c r="D183" s="195">
        <v>112</v>
      </c>
      <c r="E183" s="26"/>
      <c r="F183" s="201">
        <f t="shared" si="12"/>
        <v>1</v>
      </c>
      <c r="G183" s="201">
        <f t="shared" si="13"/>
        <v>1</v>
      </c>
      <c r="H183" s="201">
        <f t="shared" si="14"/>
        <v>1</v>
      </c>
      <c r="I183" s="201">
        <f t="shared" si="15"/>
        <v>1</v>
      </c>
      <c r="J183" s="220"/>
      <c r="L183" s="203" t="s">
        <v>514</v>
      </c>
      <c r="M183" s="204">
        <v>66</v>
      </c>
      <c r="N183" s="204">
        <v>44</v>
      </c>
      <c r="O183" s="206">
        <v>140</v>
      </c>
    </row>
    <row r="184" spans="1:15" ht="15.75" customHeight="1" x14ac:dyDescent="0.25">
      <c r="A184" s="223" t="s">
        <v>117</v>
      </c>
      <c r="B184" s="195">
        <v>33</v>
      </c>
      <c r="C184" s="195">
        <v>22</v>
      </c>
      <c r="D184" s="195">
        <v>195</v>
      </c>
      <c r="E184" s="26"/>
      <c r="F184" s="201">
        <f t="shared" si="12"/>
        <v>1</v>
      </c>
      <c r="G184" s="201">
        <f t="shared" si="13"/>
        <v>1</v>
      </c>
      <c r="H184" s="201">
        <f t="shared" si="14"/>
        <v>1</v>
      </c>
      <c r="I184" s="201">
        <f t="shared" si="15"/>
        <v>1</v>
      </c>
      <c r="J184" s="220"/>
      <c r="L184" s="203" t="s">
        <v>515</v>
      </c>
      <c r="M184" s="211"/>
      <c r="N184" s="211"/>
      <c r="O184" s="211"/>
    </row>
    <row r="185" spans="1:15" ht="15.75" customHeight="1" x14ac:dyDescent="0.25">
      <c r="A185" s="223" t="s">
        <v>156</v>
      </c>
      <c r="B185" s="195">
        <v>38</v>
      </c>
      <c r="C185" s="195">
        <v>25</v>
      </c>
      <c r="D185" s="195">
        <v>140</v>
      </c>
      <c r="E185" s="26"/>
      <c r="F185" s="201">
        <f t="shared" si="12"/>
        <v>1</v>
      </c>
      <c r="G185" s="201">
        <f t="shared" si="13"/>
        <v>1</v>
      </c>
      <c r="H185" s="201">
        <f t="shared" si="14"/>
        <v>1</v>
      </c>
      <c r="I185" s="201">
        <f t="shared" si="15"/>
        <v>1</v>
      </c>
      <c r="J185" s="220"/>
      <c r="L185" s="203" t="s">
        <v>516</v>
      </c>
      <c r="M185" s="204">
        <v>66</v>
      </c>
      <c r="N185" s="204">
        <v>44</v>
      </c>
      <c r="O185" s="206">
        <v>186</v>
      </c>
    </row>
    <row r="186" spans="1:15" ht="15.75" customHeight="1" x14ac:dyDescent="0.25">
      <c r="A186" s="223" t="s">
        <v>153</v>
      </c>
      <c r="B186" s="195">
        <v>33</v>
      </c>
      <c r="C186" s="195">
        <v>22</v>
      </c>
      <c r="D186" s="195">
        <v>130</v>
      </c>
      <c r="E186" s="26"/>
      <c r="F186" s="201">
        <f t="shared" si="12"/>
        <v>0</v>
      </c>
      <c r="G186" s="201">
        <f t="shared" si="13"/>
        <v>1</v>
      </c>
      <c r="H186" s="201">
        <f t="shared" si="14"/>
        <v>1</v>
      </c>
      <c r="I186" s="201">
        <f t="shared" si="15"/>
        <v>1</v>
      </c>
      <c r="J186" s="220" t="s">
        <v>641</v>
      </c>
      <c r="L186" s="203" t="s">
        <v>365</v>
      </c>
      <c r="M186" s="204">
        <v>64</v>
      </c>
      <c r="N186" s="204">
        <v>43</v>
      </c>
      <c r="O186" s="206">
        <v>180</v>
      </c>
    </row>
    <row r="187" spans="1:15" ht="15.75" customHeight="1" x14ac:dyDescent="0.25">
      <c r="A187" s="223" t="s">
        <v>154</v>
      </c>
      <c r="B187" s="195">
        <v>36</v>
      </c>
      <c r="C187" s="195">
        <v>24</v>
      </c>
      <c r="D187" s="195">
        <v>129</v>
      </c>
      <c r="E187" s="26"/>
      <c r="F187" s="201">
        <f t="shared" si="12"/>
        <v>0</v>
      </c>
      <c r="G187" s="201">
        <f t="shared" si="13"/>
        <v>1</v>
      </c>
      <c r="H187" s="201">
        <f t="shared" si="14"/>
        <v>1</v>
      </c>
      <c r="I187" s="201">
        <f t="shared" si="15"/>
        <v>1</v>
      </c>
      <c r="J187" s="220" t="s">
        <v>642</v>
      </c>
      <c r="L187" s="203" t="s">
        <v>517</v>
      </c>
      <c r="M187" s="204">
        <v>42</v>
      </c>
      <c r="N187" s="204">
        <v>28</v>
      </c>
      <c r="O187" s="206">
        <v>190</v>
      </c>
    </row>
    <row r="188" spans="1:15" ht="15.75" customHeight="1" x14ac:dyDescent="0.25">
      <c r="A188" s="223" t="s">
        <v>155</v>
      </c>
      <c r="B188" s="195">
        <v>29</v>
      </c>
      <c r="C188" s="195">
        <v>20</v>
      </c>
      <c r="D188" s="195">
        <v>109</v>
      </c>
      <c r="E188" s="26"/>
      <c r="F188" s="201">
        <f t="shared" si="12"/>
        <v>0</v>
      </c>
      <c r="G188" s="201">
        <f t="shared" si="13"/>
        <v>0</v>
      </c>
      <c r="H188" s="201">
        <f t="shared" si="14"/>
        <v>0</v>
      </c>
      <c r="I188" s="201">
        <f t="shared" si="15"/>
        <v>0</v>
      </c>
      <c r="J188" s="220" t="s">
        <v>583</v>
      </c>
      <c r="L188" s="203" t="s">
        <v>518</v>
      </c>
      <c r="M188" s="204">
        <v>27</v>
      </c>
      <c r="N188" s="204">
        <v>18</v>
      </c>
      <c r="O188" s="205">
        <v>97</v>
      </c>
    </row>
    <row r="189" spans="1:15" ht="15.75" customHeight="1" x14ac:dyDescent="0.25">
      <c r="A189" s="223" t="s">
        <v>118</v>
      </c>
      <c r="B189" s="195">
        <v>51</v>
      </c>
      <c r="C189" s="195">
        <v>34</v>
      </c>
      <c r="D189" s="195">
        <v>159</v>
      </c>
      <c r="E189" s="26"/>
      <c r="F189" s="201">
        <f t="shared" si="12"/>
        <v>1</v>
      </c>
      <c r="G189" s="201">
        <f t="shared" si="13"/>
        <v>1</v>
      </c>
      <c r="H189" s="201">
        <f t="shared" si="14"/>
        <v>1</v>
      </c>
      <c r="I189" s="201">
        <f t="shared" si="15"/>
        <v>1</v>
      </c>
      <c r="J189" s="220"/>
      <c r="L189" s="203" t="s">
        <v>519</v>
      </c>
      <c r="M189" s="204">
        <v>57</v>
      </c>
      <c r="N189" s="204">
        <v>38</v>
      </c>
      <c r="O189" s="206">
        <v>145</v>
      </c>
    </row>
    <row r="190" spans="1:15" ht="15.75" customHeight="1" x14ac:dyDescent="0.25">
      <c r="A190" s="223" t="s">
        <v>119</v>
      </c>
      <c r="B190" s="195">
        <v>27</v>
      </c>
      <c r="C190" s="195">
        <v>18</v>
      </c>
      <c r="D190" s="195">
        <v>85</v>
      </c>
      <c r="E190" s="26"/>
      <c r="F190" s="201">
        <f t="shared" si="12"/>
        <v>1</v>
      </c>
      <c r="G190" s="201">
        <f t="shared" si="13"/>
        <v>1</v>
      </c>
      <c r="H190" s="201">
        <f t="shared" si="14"/>
        <v>1</v>
      </c>
      <c r="I190" s="201">
        <f t="shared" si="15"/>
        <v>1</v>
      </c>
      <c r="J190" s="220"/>
      <c r="L190" s="203" t="s">
        <v>520</v>
      </c>
      <c r="M190" s="207">
        <v>63</v>
      </c>
      <c r="N190" s="207">
        <v>42</v>
      </c>
      <c r="O190" s="208">
        <v>198</v>
      </c>
    </row>
    <row r="191" spans="1:15" ht="15.75" customHeight="1" x14ac:dyDescent="0.25">
      <c r="A191" s="223" t="s">
        <v>120</v>
      </c>
      <c r="B191" s="195">
        <v>51</v>
      </c>
      <c r="C191" s="195">
        <v>34</v>
      </c>
      <c r="D191" s="195">
        <v>174</v>
      </c>
      <c r="E191" s="26"/>
      <c r="F191" s="201">
        <f t="shared" si="12"/>
        <v>1</v>
      </c>
      <c r="G191" s="201">
        <f t="shared" si="13"/>
        <v>1</v>
      </c>
      <c r="H191" s="201">
        <f t="shared" si="14"/>
        <v>1</v>
      </c>
      <c r="I191" s="201">
        <f t="shared" si="15"/>
        <v>1</v>
      </c>
      <c r="J191" s="220"/>
      <c r="L191" s="203" t="s">
        <v>521</v>
      </c>
      <c r="M191" s="207">
        <v>71</v>
      </c>
      <c r="N191" s="207">
        <v>48</v>
      </c>
      <c r="O191" s="208">
        <v>277</v>
      </c>
    </row>
    <row r="192" spans="1:15" ht="15.75" customHeight="1" x14ac:dyDescent="0.25">
      <c r="A192" s="223" t="s">
        <v>121</v>
      </c>
      <c r="B192" s="195">
        <v>44</v>
      </c>
      <c r="C192" s="195">
        <v>29</v>
      </c>
      <c r="D192" s="195">
        <v>97</v>
      </c>
      <c r="E192" s="26"/>
      <c r="F192" s="201">
        <f t="shared" si="12"/>
        <v>1</v>
      </c>
      <c r="G192" s="201">
        <f t="shared" si="13"/>
        <v>1</v>
      </c>
      <c r="H192" s="201">
        <f t="shared" si="14"/>
        <v>1</v>
      </c>
      <c r="I192" s="201">
        <f t="shared" si="15"/>
        <v>1</v>
      </c>
      <c r="J192" s="220"/>
      <c r="L192" s="203" t="s">
        <v>522</v>
      </c>
      <c r="M192" s="204">
        <v>33</v>
      </c>
      <c r="N192" s="204">
        <v>22</v>
      </c>
      <c r="O192" s="206">
        <v>121</v>
      </c>
    </row>
    <row r="193" spans="1:15" ht="15.75" customHeight="1" x14ac:dyDescent="0.25">
      <c r="A193" s="223" t="s">
        <v>122</v>
      </c>
      <c r="B193" s="195">
        <v>36</v>
      </c>
      <c r="C193" s="195">
        <v>24</v>
      </c>
      <c r="D193" s="195">
        <v>114</v>
      </c>
      <c r="E193" s="26"/>
      <c r="F193" s="201">
        <f t="shared" si="12"/>
        <v>1</v>
      </c>
      <c r="G193" s="201">
        <f t="shared" si="13"/>
        <v>1</v>
      </c>
      <c r="H193" s="201">
        <f t="shared" si="14"/>
        <v>1</v>
      </c>
      <c r="I193" s="201">
        <f t="shared" si="15"/>
        <v>1</v>
      </c>
      <c r="J193" s="220"/>
      <c r="L193" s="203" t="s">
        <v>523</v>
      </c>
      <c r="M193" s="204">
        <v>38</v>
      </c>
      <c r="N193" s="204">
        <v>25</v>
      </c>
      <c r="O193" s="206">
        <v>126</v>
      </c>
    </row>
    <row r="194" spans="1:15" ht="15.75" customHeight="1" x14ac:dyDescent="0.25">
      <c r="A194" s="223" t="s">
        <v>123</v>
      </c>
      <c r="B194" s="195">
        <v>39</v>
      </c>
      <c r="C194" s="195">
        <v>26</v>
      </c>
      <c r="D194" s="195">
        <v>118</v>
      </c>
      <c r="E194" s="26"/>
      <c r="F194" s="201">
        <f t="shared" si="12"/>
        <v>1</v>
      </c>
      <c r="G194" s="201">
        <f t="shared" si="13"/>
        <v>1</v>
      </c>
      <c r="H194" s="201">
        <f t="shared" si="14"/>
        <v>1</v>
      </c>
      <c r="I194" s="201">
        <f t="shared" si="15"/>
        <v>1</v>
      </c>
      <c r="J194" s="220"/>
      <c r="L194" s="203" t="s">
        <v>524</v>
      </c>
      <c r="M194" s="211"/>
      <c r="N194" s="211"/>
      <c r="O194" s="211"/>
    </row>
    <row r="195" spans="1:15" ht="15.75" customHeight="1" x14ac:dyDescent="0.25">
      <c r="A195" s="223" t="s">
        <v>124</v>
      </c>
      <c r="B195" s="195">
        <v>29</v>
      </c>
      <c r="C195" s="195">
        <v>20</v>
      </c>
      <c r="D195" s="195">
        <v>102</v>
      </c>
      <c r="E195" s="26"/>
      <c r="F195" s="201">
        <f t="shared" si="12"/>
        <v>1</v>
      </c>
      <c r="G195" s="201">
        <f t="shared" si="13"/>
        <v>1</v>
      </c>
      <c r="H195" s="201">
        <f t="shared" si="14"/>
        <v>1</v>
      </c>
      <c r="I195" s="201">
        <f t="shared" si="15"/>
        <v>1</v>
      </c>
      <c r="J195" s="220"/>
      <c r="L195" s="203" t="s">
        <v>525</v>
      </c>
      <c r="M195" s="204">
        <v>34</v>
      </c>
      <c r="N195" s="204">
        <v>23</v>
      </c>
      <c r="O195" s="206">
        <v>144</v>
      </c>
    </row>
    <row r="196" spans="1:15" ht="15.75" customHeight="1" x14ac:dyDescent="0.25">
      <c r="A196" s="223" t="s">
        <v>125</v>
      </c>
      <c r="B196" s="195">
        <v>66</v>
      </c>
      <c r="C196" s="195">
        <v>44</v>
      </c>
      <c r="D196" s="195">
        <v>203</v>
      </c>
      <c r="E196" s="26"/>
      <c r="F196" s="201">
        <f t="shared" si="12"/>
        <v>1</v>
      </c>
      <c r="G196" s="201">
        <f t="shared" si="13"/>
        <v>1</v>
      </c>
      <c r="H196" s="201">
        <f t="shared" si="14"/>
        <v>1</v>
      </c>
      <c r="I196" s="201">
        <f t="shared" si="15"/>
        <v>1</v>
      </c>
      <c r="J196" s="220"/>
      <c r="L196" s="203" t="s">
        <v>526</v>
      </c>
      <c r="M196" s="204">
        <v>36</v>
      </c>
      <c r="N196" s="204">
        <v>24</v>
      </c>
      <c r="O196" s="206">
        <v>103</v>
      </c>
    </row>
    <row r="197" spans="1:15" ht="15.75" customHeight="1" x14ac:dyDescent="0.25">
      <c r="A197" s="223" t="s">
        <v>126</v>
      </c>
      <c r="B197" s="195">
        <v>42</v>
      </c>
      <c r="C197" s="195">
        <v>28</v>
      </c>
      <c r="D197" s="195">
        <v>155</v>
      </c>
      <c r="E197" s="26"/>
      <c r="F197" s="201">
        <f t="shared" si="12"/>
        <v>1</v>
      </c>
      <c r="G197" s="201">
        <f t="shared" si="13"/>
        <v>1</v>
      </c>
      <c r="H197" s="201">
        <f t="shared" si="14"/>
        <v>1</v>
      </c>
      <c r="I197" s="201">
        <f t="shared" si="15"/>
        <v>1</v>
      </c>
      <c r="J197" s="220"/>
      <c r="L197" s="203" t="s">
        <v>527</v>
      </c>
      <c r="M197" s="204">
        <v>42</v>
      </c>
      <c r="N197" s="204">
        <v>28</v>
      </c>
      <c r="O197" s="206">
        <v>131</v>
      </c>
    </row>
    <row r="198" spans="1:15" ht="15.75" customHeight="1" x14ac:dyDescent="0.25">
      <c r="A198" s="223" t="s">
        <v>127</v>
      </c>
      <c r="B198" s="195">
        <v>32</v>
      </c>
      <c r="C198" s="195">
        <v>21</v>
      </c>
      <c r="D198" s="195">
        <v>77</v>
      </c>
      <c r="E198" s="26"/>
      <c r="F198" s="201">
        <f t="shared" si="12"/>
        <v>1</v>
      </c>
      <c r="G198" s="201">
        <f t="shared" si="13"/>
        <v>1</v>
      </c>
      <c r="H198" s="201">
        <f t="shared" si="14"/>
        <v>1</v>
      </c>
      <c r="I198" s="201">
        <f t="shared" si="15"/>
        <v>1</v>
      </c>
      <c r="J198" s="220"/>
      <c r="L198" s="203" t="s">
        <v>528</v>
      </c>
      <c r="M198" s="204">
        <v>44</v>
      </c>
      <c r="N198" s="204">
        <v>29</v>
      </c>
      <c r="O198" s="206">
        <v>142</v>
      </c>
    </row>
    <row r="199" spans="1:15" ht="15.75" customHeight="1" x14ac:dyDescent="0.25">
      <c r="A199" s="223" t="s">
        <v>128</v>
      </c>
      <c r="B199" s="195">
        <v>40</v>
      </c>
      <c r="C199" s="195">
        <v>27</v>
      </c>
      <c r="D199" s="195">
        <v>144</v>
      </c>
      <c r="E199" s="26"/>
      <c r="F199" s="201">
        <f t="shared" si="12"/>
        <v>1</v>
      </c>
      <c r="G199" s="201">
        <f t="shared" si="13"/>
        <v>1</v>
      </c>
      <c r="H199" s="201">
        <f t="shared" si="14"/>
        <v>1</v>
      </c>
      <c r="I199" s="201">
        <f t="shared" si="15"/>
        <v>1</v>
      </c>
      <c r="J199" s="220"/>
      <c r="L199" s="203" t="s">
        <v>365</v>
      </c>
      <c r="M199" s="204">
        <v>34</v>
      </c>
      <c r="N199" s="204">
        <v>23</v>
      </c>
      <c r="O199" s="206">
        <v>103</v>
      </c>
    </row>
    <row r="200" spans="1:15" ht="15.75" customHeight="1" x14ac:dyDescent="0.25">
      <c r="A200" s="223" t="s">
        <v>129</v>
      </c>
      <c r="B200" s="195">
        <v>28</v>
      </c>
      <c r="C200" s="195">
        <v>19</v>
      </c>
      <c r="D200" s="195">
        <v>135</v>
      </c>
      <c r="E200" s="26"/>
      <c r="F200" s="201">
        <f t="shared" si="12"/>
        <v>1</v>
      </c>
      <c r="G200" s="201">
        <f t="shared" si="13"/>
        <v>1</v>
      </c>
      <c r="H200" s="201">
        <f t="shared" si="14"/>
        <v>1</v>
      </c>
      <c r="I200" s="201">
        <f t="shared" si="15"/>
        <v>1</v>
      </c>
      <c r="J200" s="220"/>
      <c r="L200" s="203" t="s">
        <v>529</v>
      </c>
      <c r="M200" s="204">
        <v>36</v>
      </c>
      <c r="N200" s="204">
        <v>24</v>
      </c>
      <c r="O200" s="206">
        <v>112</v>
      </c>
    </row>
    <row r="201" spans="1:15" ht="15.75" customHeight="1" x14ac:dyDescent="0.25">
      <c r="A201" s="223" t="s">
        <v>151</v>
      </c>
      <c r="B201" s="195">
        <v>32</v>
      </c>
      <c r="C201" s="195">
        <v>21</v>
      </c>
      <c r="D201" s="195">
        <v>110</v>
      </c>
      <c r="E201" s="26"/>
      <c r="F201" s="201">
        <f t="shared" si="12"/>
        <v>0</v>
      </c>
      <c r="G201" s="201">
        <f t="shared" si="13"/>
        <v>1</v>
      </c>
      <c r="H201" s="201">
        <f t="shared" si="14"/>
        <v>1</v>
      </c>
      <c r="I201" s="201">
        <f t="shared" si="15"/>
        <v>1</v>
      </c>
      <c r="J201" s="220" t="s">
        <v>643</v>
      </c>
      <c r="L201" s="203" t="s">
        <v>530</v>
      </c>
      <c r="M201" s="204">
        <v>33</v>
      </c>
      <c r="N201" s="204">
        <v>22</v>
      </c>
      <c r="O201" s="206">
        <v>195</v>
      </c>
    </row>
    <row r="202" spans="1:15" ht="15.75" customHeight="1" x14ac:dyDescent="0.25">
      <c r="A202" s="223" t="s">
        <v>150</v>
      </c>
      <c r="B202" s="195">
        <v>44</v>
      </c>
      <c r="C202" s="195">
        <v>29</v>
      </c>
      <c r="D202" s="195">
        <v>120</v>
      </c>
      <c r="E202" s="26"/>
      <c r="F202" s="201">
        <f t="shared" si="12"/>
        <v>0</v>
      </c>
      <c r="G202" s="201">
        <f t="shared" si="13"/>
        <v>1</v>
      </c>
      <c r="H202" s="201">
        <f t="shared" si="14"/>
        <v>1</v>
      </c>
      <c r="I202" s="201">
        <f t="shared" si="15"/>
        <v>1</v>
      </c>
      <c r="J202" s="220" t="s">
        <v>644</v>
      </c>
      <c r="L202" s="203" t="s">
        <v>531</v>
      </c>
      <c r="M202" s="211"/>
      <c r="N202" s="211"/>
      <c r="O202" s="211"/>
    </row>
    <row r="203" spans="1:15" ht="15.75" customHeight="1" x14ac:dyDescent="0.25">
      <c r="A203" s="223" t="s">
        <v>152</v>
      </c>
      <c r="B203" s="195">
        <v>24</v>
      </c>
      <c r="C203" s="195">
        <v>16</v>
      </c>
      <c r="D203" s="195">
        <v>107</v>
      </c>
      <c r="E203" s="26"/>
      <c r="F203" s="201">
        <f t="shared" si="12"/>
        <v>0</v>
      </c>
      <c r="G203" s="201">
        <f t="shared" si="13"/>
        <v>0</v>
      </c>
      <c r="H203" s="201">
        <f t="shared" si="14"/>
        <v>0</v>
      </c>
      <c r="I203" s="201">
        <f t="shared" si="15"/>
        <v>0</v>
      </c>
      <c r="J203" s="220" t="s">
        <v>583</v>
      </c>
      <c r="L203" s="203" t="s">
        <v>532</v>
      </c>
      <c r="M203" s="204">
        <v>33</v>
      </c>
      <c r="N203" s="204">
        <v>22</v>
      </c>
      <c r="O203" s="206">
        <v>130</v>
      </c>
    </row>
    <row r="204" spans="1:15" ht="15.75" customHeight="1" x14ac:dyDescent="0.25">
      <c r="A204" s="223" t="s">
        <v>130</v>
      </c>
      <c r="B204" s="195">
        <v>41</v>
      </c>
      <c r="C204" s="195">
        <v>28</v>
      </c>
      <c r="D204" s="195">
        <v>143</v>
      </c>
      <c r="E204" s="26"/>
      <c r="F204" s="201">
        <f t="shared" si="12"/>
        <v>1</v>
      </c>
      <c r="G204" s="201">
        <f t="shared" si="13"/>
        <v>1</v>
      </c>
      <c r="H204" s="201">
        <f t="shared" si="14"/>
        <v>1</v>
      </c>
      <c r="I204" s="201">
        <f t="shared" si="15"/>
        <v>1</v>
      </c>
      <c r="J204" s="220"/>
      <c r="L204" s="203" t="s">
        <v>533</v>
      </c>
      <c r="M204" s="204">
        <v>36</v>
      </c>
      <c r="N204" s="204">
        <v>24</v>
      </c>
      <c r="O204" s="206">
        <v>129</v>
      </c>
    </row>
    <row r="205" spans="1:15" ht="15.75" customHeight="1" x14ac:dyDescent="0.25">
      <c r="A205" s="223" t="s">
        <v>131</v>
      </c>
      <c r="B205" s="195">
        <v>26</v>
      </c>
      <c r="C205" s="195">
        <v>17</v>
      </c>
      <c r="D205" s="195">
        <v>98</v>
      </c>
      <c r="E205" s="26"/>
      <c r="F205" s="201">
        <f t="shared" si="12"/>
        <v>1</v>
      </c>
      <c r="G205" s="201">
        <f t="shared" si="13"/>
        <v>1</v>
      </c>
      <c r="H205" s="201">
        <f t="shared" si="14"/>
        <v>1</v>
      </c>
      <c r="I205" s="201">
        <f t="shared" si="15"/>
        <v>1</v>
      </c>
      <c r="J205" s="220"/>
      <c r="L205" s="203" t="s">
        <v>365</v>
      </c>
      <c r="M205" s="204">
        <v>29</v>
      </c>
      <c r="N205" s="204">
        <v>20</v>
      </c>
      <c r="O205" s="206">
        <v>109</v>
      </c>
    </row>
    <row r="206" spans="1:15" ht="15.75" customHeight="1" x14ac:dyDescent="0.25">
      <c r="A206" s="223" t="s">
        <v>132</v>
      </c>
      <c r="B206" s="195">
        <v>32</v>
      </c>
      <c r="C206" s="195">
        <v>21</v>
      </c>
      <c r="D206" s="195">
        <v>85</v>
      </c>
      <c r="E206" s="26"/>
      <c r="F206" s="201">
        <f t="shared" si="12"/>
        <v>1</v>
      </c>
      <c r="G206" s="201">
        <f t="shared" si="13"/>
        <v>1</v>
      </c>
      <c r="H206" s="201">
        <f t="shared" si="14"/>
        <v>1</v>
      </c>
      <c r="I206" s="201">
        <f t="shared" si="15"/>
        <v>1</v>
      </c>
      <c r="J206" s="220"/>
      <c r="L206" s="203" t="s">
        <v>534</v>
      </c>
      <c r="M206" s="204">
        <v>51</v>
      </c>
      <c r="N206" s="204">
        <v>34</v>
      </c>
      <c r="O206" s="206">
        <v>159</v>
      </c>
    </row>
    <row r="207" spans="1:15" ht="15.75" customHeight="1" x14ac:dyDescent="0.25">
      <c r="A207" s="223" t="s">
        <v>133</v>
      </c>
      <c r="B207" s="195">
        <v>40</v>
      </c>
      <c r="C207" s="195">
        <v>27</v>
      </c>
      <c r="D207" s="195">
        <v>113</v>
      </c>
      <c r="E207" s="26"/>
      <c r="F207" s="201">
        <f t="shared" si="12"/>
        <v>1</v>
      </c>
      <c r="G207" s="201">
        <f t="shared" si="13"/>
        <v>1</v>
      </c>
      <c r="H207" s="201">
        <f t="shared" si="14"/>
        <v>1</v>
      </c>
      <c r="I207" s="201">
        <f t="shared" si="15"/>
        <v>1</v>
      </c>
      <c r="J207" s="220"/>
      <c r="L207" s="203" t="s">
        <v>535</v>
      </c>
      <c r="M207" s="204">
        <v>38</v>
      </c>
      <c r="N207" s="204">
        <v>25</v>
      </c>
      <c r="O207" s="206">
        <v>140</v>
      </c>
    </row>
    <row r="208" spans="1:15" ht="15.75" customHeight="1" x14ac:dyDescent="0.25">
      <c r="A208" s="223" t="s">
        <v>134</v>
      </c>
      <c r="B208" s="195">
        <v>34</v>
      </c>
      <c r="C208" s="195">
        <v>23</v>
      </c>
      <c r="D208" s="195">
        <v>104</v>
      </c>
      <c r="E208" s="26"/>
      <c r="F208" s="201">
        <f t="shared" ref="F208:F231" si="16">_xlfn.IFNA(IF(VLOOKUP(IF(J208="",A208,J208),$L$3:$O$330,1,FALSE)=A208,1,0),0)</f>
        <v>1</v>
      </c>
      <c r="G208" s="201">
        <f t="shared" ref="G208:G231" si="17">_xlfn.IFNA(IF(VLOOKUP(IF(J208="",A208,J208),$L$3:$O$330,2,FALSE)=B208,1,0),0)</f>
        <v>1</v>
      </c>
      <c r="H208" s="201">
        <f t="shared" ref="H208:H231" si="18">_xlfn.IFNA(IF(VLOOKUP(IF(J208="",A208,J208),$L$3:$O$330,3,FALSE)=C208,1,0),0)</f>
        <v>1</v>
      </c>
      <c r="I208" s="201">
        <f t="shared" ref="I208:I231" si="19">_xlfn.IFNA(IF(VLOOKUP(IF(J208="",A208,J208),$L$3:$O$330,4,FALSE)=D208,1,0),0)</f>
        <v>1</v>
      </c>
      <c r="J208" s="220"/>
      <c r="L208" s="203" t="s">
        <v>536</v>
      </c>
      <c r="M208" s="204">
        <v>27</v>
      </c>
      <c r="N208" s="204">
        <v>18</v>
      </c>
      <c r="O208" s="212">
        <v>85</v>
      </c>
    </row>
    <row r="209" spans="1:15" ht="15.75" customHeight="1" x14ac:dyDescent="0.25">
      <c r="A209" s="226" t="s">
        <v>323</v>
      </c>
      <c r="B209" s="195">
        <v>48</v>
      </c>
      <c r="C209" s="195">
        <v>32</v>
      </c>
      <c r="D209" s="195">
        <v>150</v>
      </c>
      <c r="E209" s="26"/>
      <c r="F209" s="201">
        <f t="shared" si="16"/>
        <v>1</v>
      </c>
      <c r="G209" s="201">
        <f t="shared" si="17"/>
        <v>1</v>
      </c>
      <c r="H209" s="201">
        <f t="shared" si="18"/>
        <v>1</v>
      </c>
      <c r="I209" s="201">
        <f t="shared" si="19"/>
        <v>1</v>
      </c>
      <c r="J209" s="220"/>
      <c r="L209" s="203" t="s">
        <v>537</v>
      </c>
      <c r="M209" s="207">
        <v>51</v>
      </c>
      <c r="N209" s="207">
        <v>34</v>
      </c>
      <c r="O209" s="208">
        <v>174</v>
      </c>
    </row>
    <row r="210" spans="1:15" ht="15.75" customHeight="1" x14ac:dyDescent="0.25">
      <c r="A210" s="223" t="s">
        <v>135</v>
      </c>
      <c r="B210" s="195">
        <v>45</v>
      </c>
      <c r="C210" s="195">
        <v>30</v>
      </c>
      <c r="D210" s="195">
        <v>127</v>
      </c>
      <c r="E210" s="26"/>
      <c r="F210" s="201">
        <f t="shared" si="16"/>
        <v>1</v>
      </c>
      <c r="G210" s="201">
        <f t="shared" si="17"/>
        <v>1</v>
      </c>
      <c r="H210" s="201">
        <f t="shared" si="18"/>
        <v>1</v>
      </c>
      <c r="I210" s="201">
        <f t="shared" si="19"/>
        <v>1</v>
      </c>
      <c r="J210" s="220"/>
      <c r="L210" s="203" t="s">
        <v>538</v>
      </c>
      <c r="M210" s="204">
        <v>44</v>
      </c>
      <c r="N210" s="204">
        <v>29</v>
      </c>
      <c r="O210" s="205">
        <v>97</v>
      </c>
    </row>
    <row r="211" spans="1:15" ht="15.75" customHeight="1" x14ac:dyDescent="0.25">
      <c r="A211" s="223" t="s">
        <v>645</v>
      </c>
      <c r="B211" s="195">
        <v>65</v>
      </c>
      <c r="C211" s="195">
        <v>44</v>
      </c>
      <c r="D211" s="195">
        <v>156</v>
      </c>
      <c r="E211" s="26"/>
      <c r="F211" s="201">
        <f t="shared" si="16"/>
        <v>1</v>
      </c>
      <c r="G211" s="201">
        <f t="shared" si="17"/>
        <v>1</v>
      </c>
      <c r="H211" s="201">
        <f t="shared" si="18"/>
        <v>1</v>
      </c>
      <c r="I211" s="201">
        <f t="shared" si="19"/>
        <v>1</v>
      </c>
      <c r="J211" s="220"/>
      <c r="L211" s="203" t="s">
        <v>539</v>
      </c>
      <c r="M211" s="207">
        <v>36</v>
      </c>
      <c r="N211" s="207">
        <v>24</v>
      </c>
      <c r="O211" s="208">
        <v>114</v>
      </c>
    </row>
    <row r="212" spans="1:15" ht="15.75" customHeight="1" x14ac:dyDescent="0.25">
      <c r="A212" s="229" t="s">
        <v>222</v>
      </c>
      <c r="B212" s="195">
        <v>77</v>
      </c>
      <c r="C212" s="195">
        <v>52</v>
      </c>
      <c r="D212" s="195">
        <v>182</v>
      </c>
      <c r="E212" s="26"/>
      <c r="F212" s="201">
        <f t="shared" si="16"/>
        <v>0</v>
      </c>
      <c r="G212" s="201">
        <f t="shared" si="17"/>
        <v>1</v>
      </c>
      <c r="H212" s="201">
        <f t="shared" si="18"/>
        <v>1</v>
      </c>
      <c r="I212" s="201">
        <f t="shared" si="19"/>
        <v>1</v>
      </c>
      <c r="J212" s="220" t="s">
        <v>646</v>
      </c>
      <c r="L212" s="203" t="s">
        <v>540</v>
      </c>
      <c r="M212" s="204">
        <v>39</v>
      </c>
      <c r="N212" s="204">
        <v>26</v>
      </c>
      <c r="O212" s="206">
        <v>118</v>
      </c>
    </row>
    <row r="213" spans="1:15" ht="15.75" customHeight="1" x14ac:dyDescent="0.25">
      <c r="A213" s="229" t="s">
        <v>223</v>
      </c>
      <c r="B213" s="195">
        <v>63</v>
      </c>
      <c r="C213" s="195">
        <v>42</v>
      </c>
      <c r="D213" s="195">
        <v>333</v>
      </c>
      <c r="E213" s="26"/>
      <c r="F213" s="201">
        <f t="shared" si="16"/>
        <v>0</v>
      </c>
      <c r="G213" s="201">
        <f t="shared" si="17"/>
        <v>1</v>
      </c>
      <c r="H213" s="201">
        <f t="shared" si="18"/>
        <v>1</v>
      </c>
      <c r="I213" s="201">
        <f t="shared" si="19"/>
        <v>1</v>
      </c>
      <c r="J213" s="220" t="s">
        <v>647</v>
      </c>
      <c r="L213" s="203" t="s">
        <v>541</v>
      </c>
      <c r="M213" s="207">
        <v>29</v>
      </c>
      <c r="N213" s="207">
        <v>20</v>
      </c>
      <c r="O213" s="208">
        <v>102</v>
      </c>
    </row>
    <row r="214" spans="1:15" ht="15.75" customHeight="1" x14ac:dyDescent="0.25">
      <c r="A214" s="229" t="s">
        <v>224</v>
      </c>
      <c r="B214" s="195">
        <v>65</v>
      </c>
      <c r="C214" s="195">
        <v>44</v>
      </c>
      <c r="D214" s="195">
        <v>233</v>
      </c>
      <c r="E214" s="26"/>
      <c r="F214" s="201">
        <f t="shared" si="16"/>
        <v>0</v>
      </c>
      <c r="G214" s="201">
        <f t="shared" si="17"/>
        <v>1</v>
      </c>
      <c r="H214" s="201">
        <f t="shared" si="18"/>
        <v>1</v>
      </c>
      <c r="I214" s="201">
        <f t="shared" si="19"/>
        <v>1</v>
      </c>
      <c r="J214" s="220" t="s">
        <v>648</v>
      </c>
      <c r="L214" s="203" t="s">
        <v>542</v>
      </c>
      <c r="M214" s="204">
        <v>66</v>
      </c>
      <c r="N214" s="204">
        <v>44</v>
      </c>
      <c r="O214" s="206">
        <v>203</v>
      </c>
    </row>
    <row r="215" spans="1:15" ht="15.75" customHeight="1" x14ac:dyDescent="0.25">
      <c r="A215" s="229" t="s">
        <v>225</v>
      </c>
      <c r="B215" s="195">
        <v>62</v>
      </c>
      <c r="C215" s="195">
        <v>41</v>
      </c>
      <c r="D215" s="195">
        <v>204</v>
      </c>
      <c r="E215" s="26"/>
      <c r="F215" s="201">
        <f t="shared" si="16"/>
        <v>0</v>
      </c>
      <c r="G215" s="201">
        <f t="shared" si="17"/>
        <v>1</v>
      </c>
      <c r="H215" s="201">
        <f t="shared" si="18"/>
        <v>1</v>
      </c>
      <c r="I215" s="201">
        <f t="shared" si="19"/>
        <v>1</v>
      </c>
      <c r="J215" s="220" t="s">
        <v>649</v>
      </c>
      <c r="L215" s="203" t="s">
        <v>543</v>
      </c>
      <c r="M215" s="204">
        <v>42</v>
      </c>
      <c r="N215" s="204">
        <v>28</v>
      </c>
      <c r="O215" s="206">
        <v>155</v>
      </c>
    </row>
    <row r="216" spans="1:15" ht="15.75" customHeight="1" x14ac:dyDescent="0.25">
      <c r="A216" s="229" t="s">
        <v>226</v>
      </c>
      <c r="B216" s="195">
        <v>64</v>
      </c>
      <c r="C216" s="195">
        <v>43</v>
      </c>
      <c r="D216" s="195">
        <v>262</v>
      </c>
      <c r="E216" s="26"/>
      <c r="F216" s="201">
        <f t="shared" si="16"/>
        <v>0</v>
      </c>
      <c r="G216" s="201">
        <f t="shared" si="17"/>
        <v>1</v>
      </c>
      <c r="H216" s="201">
        <f t="shared" si="18"/>
        <v>1</v>
      </c>
      <c r="I216" s="201">
        <f t="shared" si="19"/>
        <v>1</v>
      </c>
      <c r="J216" s="220" t="s">
        <v>650</v>
      </c>
      <c r="L216" s="203" t="s">
        <v>544</v>
      </c>
      <c r="M216" s="204">
        <v>32</v>
      </c>
      <c r="N216" s="204">
        <v>21</v>
      </c>
      <c r="O216" s="205">
        <v>77</v>
      </c>
    </row>
    <row r="217" spans="1:15" ht="15.75" customHeight="1" x14ac:dyDescent="0.25">
      <c r="A217" s="229" t="s">
        <v>227</v>
      </c>
      <c r="B217" s="195">
        <v>65</v>
      </c>
      <c r="C217" s="195">
        <v>44</v>
      </c>
      <c r="D217" s="195">
        <v>256</v>
      </c>
      <c r="E217" s="26"/>
      <c r="F217" s="201">
        <f t="shared" si="16"/>
        <v>0</v>
      </c>
      <c r="G217" s="201">
        <f t="shared" si="17"/>
        <v>1</v>
      </c>
      <c r="H217" s="201">
        <f t="shared" si="18"/>
        <v>1</v>
      </c>
      <c r="I217" s="201">
        <f t="shared" si="19"/>
        <v>1</v>
      </c>
      <c r="J217" s="220" t="s">
        <v>651</v>
      </c>
      <c r="L217" s="203" t="s">
        <v>545</v>
      </c>
      <c r="M217" s="211"/>
      <c r="N217" s="211"/>
      <c r="O217" s="211"/>
    </row>
    <row r="218" spans="1:15" ht="15.75" customHeight="1" x14ac:dyDescent="0.25">
      <c r="A218" s="229" t="s">
        <v>228</v>
      </c>
      <c r="B218" s="195">
        <v>66</v>
      </c>
      <c r="C218" s="195">
        <v>44</v>
      </c>
      <c r="D218" s="195">
        <v>308</v>
      </c>
      <c r="E218" s="26"/>
      <c r="F218" s="201">
        <f t="shared" si="16"/>
        <v>0</v>
      </c>
      <c r="G218" s="201">
        <f t="shared" si="17"/>
        <v>1</v>
      </c>
      <c r="H218" s="201">
        <f t="shared" si="18"/>
        <v>1</v>
      </c>
      <c r="I218" s="201">
        <f t="shared" si="19"/>
        <v>1</v>
      </c>
      <c r="J218" s="220" t="s">
        <v>652</v>
      </c>
      <c r="L218" s="213" t="s">
        <v>546</v>
      </c>
      <c r="M218" s="207">
        <v>32</v>
      </c>
      <c r="N218" s="207">
        <v>21</v>
      </c>
      <c r="O218" s="208">
        <v>110</v>
      </c>
    </row>
    <row r="219" spans="1:15" ht="15.75" customHeight="1" x14ac:dyDescent="0.25">
      <c r="A219" s="229" t="s">
        <v>229</v>
      </c>
      <c r="B219" s="195">
        <v>59</v>
      </c>
      <c r="C219" s="195">
        <v>40</v>
      </c>
      <c r="D219" s="195">
        <v>327</v>
      </c>
      <c r="E219" s="26"/>
      <c r="F219" s="201">
        <f t="shared" si="16"/>
        <v>0</v>
      </c>
      <c r="G219" s="201">
        <f t="shared" si="17"/>
        <v>1</v>
      </c>
      <c r="H219" s="201">
        <f t="shared" si="18"/>
        <v>1</v>
      </c>
      <c r="I219" s="201">
        <f t="shared" si="19"/>
        <v>1</v>
      </c>
      <c r="J219" s="220" t="s">
        <v>653</v>
      </c>
      <c r="L219" s="203" t="s">
        <v>547</v>
      </c>
      <c r="M219" s="207">
        <v>44</v>
      </c>
      <c r="N219" s="207">
        <v>29</v>
      </c>
      <c r="O219" s="208">
        <v>120</v>
      </c>
    </row>
    <row r="220" spans="1:15" ht="15.75" customHeight="1" x14ac:dyDescent="0.25">
      <c r="A220" s="229" t="s">
        <v>230</v>
      </c>
      <c r="B220" s="195">
        <v>66</v>
      </c>
      <c r="C220" s="195">
        <v>44</v>
      </c>
      <c r="D220" s="195">
        <v>203</v>
      </c>
      <c r="E220" s="26"/>
      <c r="F220" s="201">
        <f t="shared" si="16"/>
        <v>0</v>
      </c>
      <c r="G220" s="201">
        <f t="shared" si="17"/>
        <v>1</v>
      </c>
      <c r="H220" s="201">
        <f t="shared" si="18"/>
        <v>1</v>
      </c>
      <c r="I220" s="201">
        <f t="shared" si="19"/>
        <v>1</v>
      </c>
      <c r="J220" s="220" t="s">
        <v>654</v>
      </c>
      <c r="L220" s="203" t="s">
        <v>365</v>
      </c>
      <c r="M220" s="207">
        <v>24</v>
      </c>
      <c r="N220" s="207">
        <v>16</v>
      </c>
      <c r="O220" s="208">
        <v>107</v>
      </c>
    </row>
    <row r="221" spans="1:15" ht="15.75" customHeight="1" x14ac:dyDescent="0.25">
      <c r="A221" s="229" t="s">
        <v>231</v>
      </c>
      <c r="B221" s="195">
        <v>59</v>
      </c>
      <c r="C221" s="195">
        <v>40</v>
      </c>
      <c r="D221" s="195">
        <v>182</v>
      </c>
      <c r="E221" s="26"/>
      <c r="F221" s="201">
        <f t="shared" si="16"/>
        <v>0</v>
      </c>
      <c r="G221" s="201">
        <f t="shared" si="17"/>
        <v>0</v>
      </c>
      <c r="H221" s="201">
        <f t="shared" si="18"/>
        <v>0</v>
      </c>
      <c r="I221" s="201">
        <f t="shared" si="19"/>
        <v>0</v>
      </c>
      <c r="J221" s="220" t="s">
        <v>583</v>
      </c>
      <c r="L221" s="203" t="s">
        <v>548</v>
      </c>
      <c r="M221" s="204">
        <v>40</v>
      </c>
      <c r="N221" s="204">
        <v>27</v>
      </c>
      <c r="O221" s="206">
        <v>144</v>
      </c>
    </row>
    <row r="222" spans="1:15" ht="15.75" customHeight="1" x14ac:dyDescent="0.25">
      <c r="A222" s="223" t="s">
        <v>148</v>
      </c>
      <c r="B222" s="195">
        <v>66</v>
      </c>
      <c r="C222" s="195">
        <v>44</v>
      </c>
      <c r="D222" s="195">
        <v>163</v>
      </c>
      <c r="E222" s="26"/>
      <c r="F222" s="201">
        <f t="shared" si="16"/>
        <v>0</v>
      </c>
      <c r="G222" s="201">
        <f t="shared" si="17"/>
        <v>1</v>
      </c>
      <c r="H222" s="201">
        <f t="shared" si="18"/>
        <v>1</v>
      </c>
      <c r="I222" s="201">
        <f t="shared" si="19"/>
        <v>1</v>
      </c>
      <c r="J222" s="220" t="s">
        <v>655</v>
      </c>
      <c r="L222" s="203" t="s">
        <v>549</v>
      </c>
      <c r="M222" s="207">
        <v>28</v>
      </c>
      <c r="N222" s="207">
        <v>19</v>
      </c>
      <c r="O222" s="208">
        <v>135</v>
      </c>
    </row>
    <row r="223" spans="1:15" ht="15.75" customHeight="1" x14ac:dyDescent="0.25">
      <c r="A223" s="223" t="s">
        <v>149</v>
      </c>
      <c r="B223" s="195">
        <v>52</v>
      </c>
      <c r="C223" s="195">
        <v>35</v>
      </c>
      <c r="D223" s="195">
        <v>99</v>
      </c>
      <c r="E223" s="26"/>
      <c r="F223" s="201">
        <f t="shared" si="16"/>
        <v>0</v>
      </c>
      <c r="G223" s="201">
        <f t="shared" si="17"/>
        <v>0</v>
      </c>
      <c r="H223" s="201">
        <f t="shared" si="18"/>
        <v>0</v>
      </c>
      <c r="I223" s="201">
        <f t="shared" si="19"/>
        <v>0</v>
      </c>
      <c r="J223" s="220" t="s">
        <v>583</v>
      </c>
      <c r="L223" s="203" t="s">
        <v>550</v>
      </c>
      <c r="M223" s="204">
        <v>41</v>
      </c>
      <c r="N223" s="204">
        <v>28</v>
      </c>
      <c r="O223" s="206">
        <v>143</v>
      </c>
    </row>
    <row r="224" spans="1:15" ht="15.75" customHeight="1" x14ac:dyDescent="0.25">
      <c r="A224" s="223" t="s">
        <v>136</v>
      </c>
      <c r="B224" s="195">
        <v>36</v>
      </c>
      <c r="C224" s="195">
        <v>24</v>
      </c>
      <c r="D224" s="195">
        <v>111</v>
      </c>
      <c r="E224" s="26"/>
      <c r="F224" s="201">
        <f t="shared" si="16"/>
        <v>1</v>
      </c>
      <c r="G224" s="201">
        <f t="shared" si="17"/>
        <v>1</v>
      </c>
      <c r="H224" s="201">
        <f t="shared" si="18"/>
        <v>1</v>
      </c>
      <c r="I224" s="201">
        <f t="shared" si="19"/>
        <v>1</v>
      </c>
      <c r="J224" s="220"/>
      <c r="L224" s="203" t="s">
        <v>551</v>
      </c>
      <c r="M224" s="204">
        <v>26</v>
      </c>
      <c r="N224" s="204">
        <v>17</v>
      </c>
      <c r="O224" s="205">
        <v>98</v>
      </c>
    </row>
    <row r="225" spans="1:15" ht="15.75" customHeight="1" x14ac:dyDescent="0.25">
      <c r="A225" s="223" t="s">
        <v>137</v>
      </c>
      <c r="B225" s="195">
        <v>20</v>
      </c>
      <c r="C225" s="195">
        <v>13</v>
      </c>
      <c r="D225" s="195">
        <v>98</v>
      </c>
      <c r="E225" s="26"/>
      <c r="F225" s="201">
        <f t="shared" si="16"/>
        <v>1</v>
      </c>
      <c r="G225" s="201">
        <f t="shared" si="17"/>
        <v>1</v>
      </c>
      <c r="H225" s="201">
        <f t="shared" si="18"/>
        <v>1</v>
      </c>
      <c r="I225" s="201">
        <f t="shared" si="19"/>
        <v>1</v>
      </c>
      <c r="J225" s="220"/>
      <c r="L225" s="203" t="s">
        <v>552</v>
      </c>
      <c r="M225" s="204">
        <v>32</v>
      </c>
      <c r="N225" s="204">
        <v>21</v>
      </c>
      <c r="O225" s="205">
        <v>85</v>
      </c>
    </row>
    <row r="226" spans="1:15" ht="15.75" customHeight="1" x14ac:dyDescent="0.25">
      <c r="A226" s="223" t="s">
        <v>138</v>
      </c>
      <c r="B226" s="195">
        <v>53</v>
      </c>
      <c r="C226" s="195">
        <v>36</v>
      </c>
      <c r="D226" s="195">
        <v>210</v>
      </c>
      <c r="E226" s="26"/>
      <c r="F226" s="201">
        <f t="shared" si="16"/>
        <v>1</v>
      </c>
      <c r="G226" s="201">
        <f t="shared" si="17"/>
        <v>1</v>
      </c>
      <c r="H226" s="201">
        <f t="shared" si="18"/>
        <v>1</v>
      </c>
      <c r="I226" s="201">
        <f t="shared" si="19"/>
        <v>1</v>
      </c>
      <c r="J226" s="220"/>
      <c r="L226" s="203" t="s">
        <v>553</v>
      </c>
      <c r="M226" s="207">
        <v>40</v>
      </c>
      <c r="N226" s="207">
        <v>27</v>
      </c>
      <c r="O226" s="208">
        <v>113</v>
      </c>
    </row>
    <row r="227" spans="1:15" ht="15.75" customHeight="1" x14ac:dyDescent="0.25">
      <c r="A227" s="223" t="s">
        <v>139</v>
      </c>
      <c r="B227" s="195">
        <v>42</v>
      </c>
      <c r="C227" s="195">
        <v>28</v>
      </c>
      <c r="D227" s="195">
        <v>125</v>
      </c>
      <c r="E227" s="26"/>
      <c r="F227" s="201">
        <f t="shared" si="16"/>
        <v>1</v>
      </c>
      <c r="G227" s="201">
        <f t="shared" si="17"/>
        <v>1</v>
      </c>
      <c r="H227" s="201">
        <f t="shared" si="18"/>
        <v>1</v>
      </c>
      <c r="I227" s="201">
        <f t="shared" si="19"/>
        <v>1</v>
      </c>
      <c r="J227" s="220"/>
      <c r="L227" s="203" t="s">
        <v>554</v>
      </c>
      <c r="M227" s="204">
        <v>34</v>
      </c>
      <c r="N227" s="204">
        <v>23</v>
      </c>
      <c r="O227" s="206">
        <v>104</v>
      </c>
    </row>
    <row r="228" spans="1:15" ht="15.75" customHeight="1" x14ac:dyDescent="0.25">
      <c r="A228" s="230" t="s">
        <v>221</v>
      </c>
      <c r="B228" s="200">
        <f>VLOOKUP("Luxemburg",$A:$D,2)</f>
        <v>63</v>
      </c>
      <c r="C228" s="200">
        <f>VLOOKUP("Luxemburg",$A:$D,3)</f>
        <v>42</v>
      </c>
      <c r="D228" s="200">
        <f>VLOOKUP("Luxemburg",$A:$D,4)</f>
        <v>139</v>
      </c>
      <c r="E228" s="26"/>
      <c r="F228" s="201">
        <f t="shared" si="16"/>
        <v>0</v>
      </c>
      <c r="G228" s="201">
        <f t="shared" si="17"/>
        <v>0</v>
      </c>
      <c r="H228" s="201">
        <f t="shared" si="18"/>
        <v>0</v>
      </c>
      <c r="I228" s="201">
        <f t="shared" si="19"/>
        <v>0</v>
      </c>
      <c r="J228" s="220"/>
      <c r="L228" s="203" t="s">
        <v>555</v>
      </c>
      <c r="M228" s="204">
        <v>48</v>
      </c>
      <c r="N228" s="204">
        <v>32</v>
      </c>
      <c r="O228" s="206">
        <v>150</v>
      </c>
    </row>
    <row r="229" spans="1:15" ht="15.75" customHeight="1" x14ac:dyDescent="0.25">
      <c r="E229" s="26"/>
      <c r="F229" s="201">
        <f t="shared" si="16"/>
        <v>0</v>
      </c>
      <c r="G229" s="201">
        <f t="shared" si="17"/>
        <v>0</v>
      </c>
      <c r="H229" s="201">
        <f t="shared" si="18"/>
        <v>0</v>
      </c>
      <c r="I229" s="201">
        <f t="shared" si="19"/>
        <v>0</v>
      </c>
      <c r="J229" s="220"/>
      <c r="L229" s="203" t="s">
        <v>556</v>
      </c>
      <c r="M229" s="204">
        <v>45</v>
      </c>
      <c r="N229" s="204">
        <v>30</v>
      </c>
      <c r="O229" s="206">
        <v>127</v>
      </c>
    </row>
    <row r="230" spans="1:15" ht="15.75" customHeight="1" x14ac:dyDescent="0.25">
      <c r="E230" s="26"/>
      <c r="F230" s="201">
        <f t="shared" si="16"/>
        <v>0</v>
      </c>
      <c r="G230" s="201">
        <f t="shared" si="17"/>
        <v>0</v>
      </c>
      <c r="H230" s="201">
        <f t="shared" si="18"/>
        <v>0</v>
      </c>
      <c r="I230" s="201">
        <f t="shared" si="19"/>
        <v>0</v>
      </c>
      <c r="J230" s="220"/>
      <c r="L230" s="203" t="s">
        <v>557</v>
      </c>
      <c r="M230" s="204">
        <v>65</v>
      </c>
      <c r="N230" s="204">
        <v>44</v>
      </c>
      <c r="O230" s="206">
        <v>156</v>
      </c>
    </row>
    <row r="231" spans="1:15" ht="15.75" customHeight="1" x14ac:dyDescent="0.25">
      <c r="E231" s="26"/>
      <c r="F231" s="201">
        <f t="shared" si="16"/>
        <v>0</v>
      </c>
      <c r="G231" s="201">
        <f t="shared" si="17"/>
        <v>0</v>
      </c>
      <c r="H231" s="201">
        <f t="shared" si="18"/>
        <v>0</v>
      </c>
      <c r="I231" s="201">
        <f t="shared" si="19"/>
        <v>0</v>
      </c>
      <c r="J231" s="220"/>
      <c r="L231" s="213" t="s">
        <v>558</v>
      </c>
      <c r="M231" s="214"/>
      <c r="N231" s="214"/>
      <c r="O231" s="214"/>
    </row>
    <row r="232" spans="1:15" ht="15.75" customHeight="1" x14ac:dyDescent="0.25">
      <c r="L232" s="203" t="s">
        <v>559</v>
      </c>
      <c r="M232" s="204">
        <v>77</v>
      </c>
      <c r="N232" s="204">
        <v>52</v>
      </c>
      <c r="O232" s="206">
        <v>182</v>
      </c>
    </row>
    <row r="233" spans="1:15" ht="15.75" customHeight="1" x14ac:dyDescent="0.25">
      <c r="L233" s="203" t="s">
        <v>560</v>
      </c>
      <c r="M233" s="204">
        <v>63</v>
      </c>
      <c r="N233" s="204">
        <v>42</v>
      </c>
      <c r="O233" s="206">
        <v>333</v>
      </c>
    </row>
    <row r="234" spans="1:15" ht="15.75" customHeight="1" x14ac:dyDescent="0.25">
      <c r="L234" s="203" t="s">
        <v>561</v>
      </c>
      <c r="M234" s="204">
        <v>65</v>
      </c>
      <c r="N234" s="204">
        <v>44</v>
      </c>
      <c r="O234" s="206">
        <v>233</v>
      </c>
    </row>
    <row r="235" spans="1:15" ht="15.75" customHeight="1" x14ac:dyDescent="0.25">
      <c r="L235" s="203" t="s">
        <v>562</v>
      </c>
      <c r="M235" s="204">
        <v>62</v>
      </c>
      <c r="N235" s="204">
        <v>41</v>
      </c>
      <c r="O235" s="206">
        <v>204</v>
      </c>
    </row>
    <row r="236" spans="1:15" ht="15.75" customHeight="1" x14ac:dyDescent="0.25">
      <c r="L236" s="203" t="s">
        <v>563</v>
      </c>
      <c r="M236" s="204">
        <v>64</v>
      </c>
      <c r="N236" s="204">
        <v>43</v>
      </c>
      <c r="O236" s="206">
        <v>262</v>
      </c>
    </row>
    <row r="237" spans="1:15" ht="15.75" customHeight="1" x14ac:dyDescent="0.25">
      <c r="L237" s="203" t="s">
        <v>564</v>
      </c>
      <c r="M237" s="204">
        <v>65</v>
      </c>
      <c r="N237" s="204">
        <v>44</v>
      </c>
      <c r="O237" s="206">
        <v>256</v>
      </c>
    </row>
    <row r="238" spans="1:15" ht="15.75" customHeight="1" x14ac:dyDescent="0.25">
      <c r="L238" s="203" t="s">
        <v>565</v>
      </c>
      <c r="M238" s="204">
        <v>66</v>
      </c>
      <c r="N238" s="204">
        <v>44</v>
      </c>
      <c r="O238" s="206">
        <v>308</v>
      </c>
    </row>
    <row r="239" spans="1:15" ht="15.75" customHeight="1" x14ac:dyDescent="0.25">
      <c r="L239" s="203" t="s">
        <v>566</v>
      </c>
      <c r="M239" s="204">
        <v>59</v>
      </c>
      <c r="N239" s="204">
        <v>40</v>
      </c>
      <c r="O239" s="206">
        <v>327</v>
      </c>
    </row>
    <row r="240" spans="1:15" ht="15.75" customHeight="1" x14ac:dyDescent="0.25">
      <c r="L240" s="203" t="s">
        <v>567</v>
      </c>
      <c r="M240" s="204">
        <v>66</v>
      </c>
      <c r="N240" s="204">
        <v>44</v>
      </c>
      <c r="O240" s="206">
        <v>203</v>
      </c>
    </row>
    <row r="241" spans="12:15" ht="15.75" customHeight="1" x14ac:dyDescent="0.25">
      <c r="L241" s="203" t="s">
        <v>365</v>
      </c>
      <c r="M241" s="204">
        <v>59</v>
      </c>
      <c r="N241" s="204">
        <v>40</v>
      </c>
      <c r="O241" s="206">
        <v>182</v>
      </c>
    </row>
    <row r="242" spans="12:15" ht="15.75" customHeight="1" x14ac:dyDescent="0.25">
      <c r="L242" s="211"/>
      <c r="M242" s="211"/>
      <c r="N242" s="211"/>
      <c r="O242" s="211"/>
    </row>
    <row r="243" spans="12:15" ht="57" x14ac:dyDescent="0.25">
      <c r="L243" s="213" t="s">
        <v>568</v>
      </c>
      <c r="M243" s="214"/>
      <c r="N243" s="214"/>
      <c r="O243" s="214"/>
    </row>
    <row r="244" spans="12:15" x14ac:dyDescent="0.25">
      <c r="L244" s="203" t="s">
        <v>569</v>
      </c>
      <c r="M244" s="204">
        <v>66</v>
      </c>
      <c r="N244" s="204">
        <v>44</v>
      </c>
      <c r="O244" s="206">
        <v>163</v>
      </c>
    </row>
    <row r="245" spans="12:15" x14ac:dyDescent="0.25">
      <c r="L245" s="203" t="s">
        <v>365</v>
      </c>
      <c r="M245" s="204">
        <v>52</v>
      </c>
      <c r="N245" s="204">
        <v>35</v>
      </c>
      <c r="O245" s="205">
        <v>99</v>
      </c>
    </row>
    <row r="246" spans="12:15" x14ac:dyDescent="0.25">
      <c r="L246" s="203" t="s">
        <v>570</v>
      </c>
      <c r="M246" s="207">
        <v>36</v>
      </c>
      <c r="N246" s="207">
        <v>24</v>
      </c>
      <c r="O246" s="208">
        <v>111</v>
      </c>
    </row>
    <row r="247" spans="12:15" x14ac:dyDescent="0.25">
      <c r="L247" s="203" t="s">
        <v>571</v>
      </c>
      <c r="M247" s="204">
        <v>20</v>
      </c>
      <c r="N247" s="204">
        <v>13</v>
      </c>
      <c r="O247" s="205">
        <v>98</v>
      </c>
    </row>
    <row r="248" spans="12:15" ht="28.5" x14ac:dyDescent="0.25">
      <c r="L248" s="203" t="s">
        <v>572</v>
      </c>
      <c r="M248" s="204">
        <v>53</v>
      </c>
      <c r="N248" s="204">
        <v>36</v>
      </c>
      <c r="O248" s="206">
        <v>210</v>
      </c>
    </row>
    <row r="249" spans="12:15" x14ac:dyDescent="0.25">
      <c r="L249" s="203" t="s">
        <v>573</v>
      </c>
      <c r="M249" s="204">
        <v>42</v>
      </c>
      <c r="N249" s="204">
        <v>28</v>
      </c>
      <c r="O249" s="206">
        <v>125</v>
      </c>
    </row>
  </sheetData>
  <sheetProtection algorithmName="SHA-512" hashValue="3wkKa3HT5COextxOYZCCRlcJQeaJQPCVTwscn+VhjBL3Ix2auez6Jb77sikG1t8qUjKcGesL188LeW3fWQkPyA==" saltValue="l+9rFsNyssUqAsKVyPWObA==" spinCount="100000" sheet="1" objects="1" scenarios="1" selectLockedCells="1"/>
  <mergeCells count="3">
    <mergeCell ref="L1:O1"/>
    <mergeCell ref="L2:O2"/>
    <mergeCell ref="F1:J1"/>
  </mergeCells>
  <phoneticPr fontId="17" type="noConversion"/>
  <conditionalFormatting sqref="A1">
    <cfRule type="expression" dxfId="6" priority="193">
      <formula>#REF!=0</formula>
    </cfRule>
  </conditionalFormatting>
  <conditionalFormatting sqref="A2:A389">
    <cfRule type="expression" dxfId="5" priority="186">
      <formula>F2=0</formula>
    </cfRule>
  </conditionalFormatting>
  <conditionalFormatting sqref="A235:A1048576">
    <cfRule type="expression" dxfId="4" priority="195">
      <formula>#REF!=0</formula>
    </cfRule>
  </conditionalFormatting>
  <conditionalFormatting sqref="B1:D1">
    <cfRule type="expression" dxfId="3" priority="194">
      <formula>AND(#REF!=0,#REF!&lt;&gt;"")</formula>
    </cfRule>
  </conditionalFormatting>
  <conditionalFormatting sqref="B2:D389">
    <cfRule type="expression" dxfId="2" priority="188">
      <formula>AND(G2=0,G2&lt;&gt;"")</formula>
    </cfRule>
  </conditionalFormatting>
  <conditionalFormatting sqref="B235:D1048576">
    <cfRule type="expression" dxfId="1" priority="196">
      <formula>AND(#REF!=0,#REF!&lt;&gt;"")</formula>
    </cfRule>
  </conditionalFormatting>
  <conditionalFormatting sqref="L3:L400">
    <cfRule type="expression" dxfId="0" priority="206">
      <formula>VLOOKUP(L3,$A$3:$D$231,1,)=L3</formula>
    </cfRule>
  </conditionalFormatting>
  <hyperlinks>
    <hyperlink ref="B43" r:id="rId1" tooltip="Verpflegungspauschale im Inland" display="http://www.steuer-schutzbrief.de/reisekosten/verpflegungsmehraufwand.html" xr:uid="{00000000-0004-0000-0200-000000000000}"/>
    <hyperlink ref="C43" r:id="rId2" tooltip="Wie Sie Ihren Verpflegungsmehraufwand im Inland geltend machen" display="http://www.steuer-schutzbrief.de/reisekosten/verpflegungsmehraufwand.html" xr:uid="{00000000-0004-0000-0200-000001000000}"/>
    <hyperlink ref="D43" r:id="rId3" tooltip="Wie Sie die Übernachtungspauschale im Inland geltend machen" display="http://www.steuer-schutzbrief.de/reisekosten/uebernachtungskosten.html" xr:uid="{00000000-0004-0000-0200-000002000000}"/>
  </hyperlinks>
  <pageMargins left="0.7" right="0.7" top="0.78740157499999996" bottom="0.78740157499999996" header="0.3" footer="0.3"/>
  <pageSetup paperSize="9" orientation="portrait" r:id="rId4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6</vt:i4>
      </vt:variant>
    </vt:vector>
  </HeadingPairs>
  <TitlesOfParts>
    <vt:vector size="9" baseType="lpstr">
      <vt:lpstr>Reisekostenabrechnung</vt:lpstr>
      <vt:lpstr>Beispielabrechnung</vt:lpstr>
      <vt:lpstr>Pauschalen</vt:lpstr>
      <vt:lpstr>Beispielabrechnung!Druckbereich</vt:lpstr>
      <vt:lpstr>Reisekostenabrechnung!Druckbereich</vt:lpstr>
      <vt:lpstr>Beispielabrechnung!Drucktitel</vt:lpstr>
      <vt:lpstr>Reisekostenabrechnung!Drucktitel</vt:lpstr>
      <vt:lpstr>Liste_27042016</vt:lpstr>
      <vt:lpstr>Liste2016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</dc:creator>
  <cp:lastModifiedBy>Niels Ihlenburg</cp:lastModifiedBy>
  <cp:lastPrinted>2024-03-21T13:56:18Z</cp:lastPrinted>
  <dcterms:created xsi:type="dcterms:W3CDTF">2008-04-04T07:51:05Z</dcterms:created>
  <dcterms:modified xsi:type="dcterms:W3CDTF">2025-01-14T14:17:51Z</dcterms:modified>
</cp:coreProperties>
</file>