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showInkAnnotation="0"/>
  <mc:AlternateContent xmlns:mc="http://schemas.openxmlformats.org/markup-compatibility/2006">
    <mc:Choice Requires="x15">
      <x15ac:absPath xmlns:x15ac="http://schemas.microsoft.com/office/spreadsheetml/2010/11/ac" url="K:\NI_Zwischenablage\Aufzeichnungen (K)\Erstellte Dateien (Excel, Word)\Inhalte Homepage\RKA\"/>
    </mc:Choice>
  </mc:AlternateContent>
  <xr:revisionPtr revIDLastSave="0" documentId="13_ncr:1_{1ED975B2-F353-449A-A517-80BA8062AF17}" xr6:coauthVersionLast="47" xr6:coauthVersionMax="47" xr10:uidLastSave="{00000000-0000-0000-0000-000000000000}"/>
  <bookViews>
    <workbookView xWindow="2895" yWindow="600" windowWidth="20100" windowHeight="14055" xr2:uid="{00000000-000D-0000-FFFF-FFFF00000000}"/>
  </bookViews>
  <sheets>
    <sheet name="Reisekostenabrechnung" sheetId="12" r:id="rId1"/>
    <sheet name="Beispielabrechnung" sheetId="19" r:id="rId2"/>
    <sheet name="Pauschalen" sheetId="10" state="hidden" r:id="rId3"/>
  </sheets>
  <externalReferences>
    <externalReference r:id="rId4"/>
  </externalReferences>
  <definedNames>
    <definedName name="_xlnm._FilterDatabase" localSheetId="2" hidden="1">Pauschalen!$A$2:$D$240</definedName>
    <definedName name="_xlnm.Print_Area" localSheetId="1">Beispielabrechnung!$C$1:$X$37</definedName>
    <definedName name="_xlnm.Print_Area" localSheetId="0">Reisekostenabrechnung!$C$1:$X$37</definedName>
    <definedName name="_xlnm.Print_Titles" localSheetId="1">Beispielabrechnung!$1:$10</definedName>
    <definedName name="_xlnm.Print_Titles" localSheetId="0">Reisekostenabrechnung!$1:$10</definedName>
    <definedName name="Ja" localSheetId="1">Beispielabrechnung!#REF!</definedName>
    <definedName name="Ja" localSheetId="0">Reisekostenabrechnung!#REF!</definedName>
    <definedName name="Ja">#REF!</definedName>
    <definedName name="Liste_27042016">Pauschalen!$A$3:$A$240</definedName>
    <definedName name="Liste_DM">#REF!</definedName>
    <definedName name="Liste_DM15">#REF!</definedName>
    <definedName name="Liste_DMII" localSheetId="2">[1]data_fill!$C$38:$C$39</definedName>
    <definedName name="Liste_DMII">#REF!</definedName>
    <definedName name="Liste2016">Pauschalen!$A$3:$A$240</definedName>
    <definedName name="Liste26042016">#REF!</definedName>
    <definedName name="ListeDM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2" i="12" l="1"/>
  <c r="AD13" i="12"/>
  <c r="AD14" i="12"/>
  <c r="AD15" i="12"/>
  <c r="AD16" i="12"/>
  <c r="AD17" i="12"/>
  <c r="AD18" i="12"/>
  <c r="AD19" i="12"/>
  <c r="AD20" i="12"/>
  <c r="AD21" i="12"/>
  <c r="AD22" i="12"/>
  <c r="AD23" i="12"/>
  <c r="AD24" i="12"/>
  <c r="AD25" i="12"/>
  <c r="AD11" i="12"/>
  <c r="I37" i="19"/>
  <c r="AB35" i="19"/>
  <c r="I34" i="19"/>
  <c r="AB33" i="19"/>
  <c r="I33" i="19"/>
  <c r="AB32" i="19"/>
  <c r="I32" i="19"/>
  <c r="AB30" i="19"/>
  <c r="AB28" i="19"/>
  <c r="X26" i="19"/>
  <c r="T26" i="19"/>
  <c r="AT25" i="19"/>
  <c r="AS25" i="19"/>
  <c r="AR25" i="19"/>
  <c r="AU25" i="19" s="1"/>
  <c r="AK25" i="19"/>
  <c r="AH25" i="19"/>
  <c r="AF25" i="19"/>
  <c r="AG25" i="19" s="1"/>
  <c r="AC25" i="19"/>
  <c r="AB25" i="19"/>
  <c r="AA25" i="19"/>
  <c r="Z25" i="19"/>
  <c r="AT24" i="19"/>
  <c r="AS24" i="19"/>
  <c r="AR24" i="19"/>
  <c r="AU24" i="19" s="1"/>
  <c r="AK24" i="19"/>
  <c r="AH24" i="19"/>
  <c r="AF24" i="19"/>
  <c r="AG24" i="19" s="1"/>
  <c r="AC24" i="19"/>
  <c r="AB24" i="19"/>
  <c r="AA24" i="19"/>
  <c r="Z24" i="19"/>
  <c r="AT23" i="19"/>
  <c r="AS23" i="19"/>
  <c r="AR23" i="19"/>
  <c r="AU23" i="19" s="1"/>
  <c r="AK23" i="19"/>
  <c r="AH23" i="19"/>
  <c r="AF23" i="19"/>
  <c r="AG23" i="19" s="1"/>
  <c r="AC23" i="19"/>
  <c r="AB23" i="19"/>
  <c r="AA23" i="19"/>
  <c r="Z23" i="19"/>
  <c r="AT22" i="19"/>
  <c r="AS22" i="19"/>
  <c r="AR22" i="19"/>
  <c r="AU22" i="19" s="1"/>
  <c r="AK22" i="19"/>
  <c r="AH22" i="19"/>
  <c r="AF22" i="19"/>
  <c r="AG22" i="19" s="1"/>
  <c r="AC22" i="19"/>
  <c r="AB22" i="19"/>
  <c r="AA22" i="19"/>
  <c r="Z22" i="19"/>
  <c r="AT21" i="19"/>
  <c r="AS21" i="19"/>
  <c r="AR21" i="19"/>
  <c r="AU21" i="19" s="1"/>
  <c r="AP21" i="19"/>
  <c r="AK21" i="19"/>
  <c r="AH21" i="19"/>
  <c r="AF21" i="19"/>
  <c r="AG21" i="19" s="1"/>
  <c r="AC21" i="19"/>
  <c r="AD21" i="19" s="1"/>
  <c r="AB21" i="19"/>
  <c r="AA21" i="19"/>
  <c r="Z21" i="19"/>
  <c r="AT20" i="19"/>
  <c r="AS20" i="19"/>
  <c r="AR20" i="19"/>
  <c r="AU20" i="19" s="1"/>
  <c r="AP20" i="19"/>
  <c r="AK20" i="19"/>
  <c r="AH20" i="19"/>
  <c r="AF20" i="19"/>
  <c r="AG20" i="19" s="1"/>
  <c r="AC20" i="19"/>
  <c r="AD20" i="19" s="1"/>
  <c r="AB20" i="19"/>
  <c r="AA20" i="19"/>
  <c r="Z20" i="19"/>
  <c r="AT19" i="19"/>
  <c r="AS19" i="19"/>
  <c r="AR19" i="19"/>
  <c r="AU19" i="19" s="1"/>
  <c r="AP19" i="19"/>
  <c r="AK19" i="19"/>
  <c r="AH19" i="19"/>
  <c r="AF19" i="19"/>
  <c r="AG19" i="19" s="1"/>
  <c r="AC19" i="19"/>
  <c r="AD19" i="19" s="1"/>
  <c r="AB19" i="19"/>
  <c r="AA19" i="19"/>
  <c r="Z19" i="19"/>
  <c r="AT18" i="19"/>
  <c r="AS18" i="19"/>
  <c r="AR18" i="19"/>
  <c r="AU18" i="19" s="1"/>
  <c r="AP18" i="19"/>
  <c r="AK18" i="19"/>
  <c r="AH18" i="19"/>
  <c r="AF18" i="19"/>
  <c r="AG18" i="19" s="1"/>
  <c r="AC18" i="19"/>
  <c r="AD18" i="19" s="1"/>
  <c r="AB18" i="19"/>
  <c r="AA18" i="19"/>
  <c r="Z18" i="19"/>
  <c r="AT17" i="19"/>
  <c r="AS17" i="19"/>
  <c r="AR17" i="19"/>
  <c r="AU17" i="19" s="1"/>
  <c r="AK17" i="19"/>
  <c r="AH17" i="19"/>
  <c r="AF17" i="19"/>
  <c r="AG17" i="19" s="1"/>
  <c r="AC17" i="19"/>
  <c r="AB17" i="19"/>
  <c r="AA17" i="19"/>
  <c r="Z17" i="19"/>
  <c r="AT16" i="19"/>
  <c r="AS16" i="19"/>
  <c r="AR16" i="19"/>
  <c r="AU16" i="19" s="1"/>
  <c r="AK16" i="19"/>
  <c r="AH16" i="19"/>
  <c r="AF16" i="19"/>
  <c r="AG16" i="19" s="1"/>
  <c r="AC16" i="19"/>
  <c r="AB16" i="19"/>
  <c r="AA16" i="19"/>
  <c r="Z16" i="19"/>
  <c r="AT15" i="19"/>
  <c r="AS15" i="19"/>
  <c r="AR15" i="19"/>
  <c r="AU15" i="19" s="1"/>
  <c r="AP15" i="19"/>
  <c r="AK15" i="19"/>
  <c r="AH15" i="19"/>
  <c r="AF15" i="19"/>
  <c r="AG15" i="19" s="1"/>
  <c r="AC15" i="19"/>
  <c r="AD15" i="19" s="1"/>
  <c r="AB15" i="19"/>
  <c r="AA15" i="19"/>
  <c r="Z15" i="19"/>
  <c r="AT14" i="19"/>
  <c r="AS14" i="19"/>
  <c r="AR14" i="19"/>
  <c r="AU14" i="19" s="1"/>
  <c r="AP14" i="19"/>
  <c r="AK14" i="19"/>
  <c r="AH14" i="19"/>
  <c r="AF14" i="19"/>
  <c r="AG14" i="19" s="1"/>
  <c r="AC14" i="19"/>
  <c r="AD14" i="19" s="1"/>
  <c r="AB14" i="19"/>
  <c r="AA14" i="19"/>
  <c r="Z14" i="19"/>
  <c r="AT13" i="19"/>
  <c r="AS13" i="19"/>
  <c r="AR13" i="19"/>
  <c r="AU13" i="19" s="1"/>
  <c r="AP13" i="19"/>
  <c r="AK13" i="19"/>
  <c r="AH13" i="19"/>
  <c r="AF13" i="19"/>
  <c r="AG13" i="19" s="1"/>
  <c r="AC13" i="19"/>
  <c r="AD13" i="19" s="1"/>
  <c r="AB13" i="19"/>
  <c r="AA13" i="19"/>
  <c r="Z13" i="19"/>
  <c r="AT12" i="19"/>
  <c r="AS12" i="19"/>
  <c r="AR12" i="19"/>
  <c r="AU12" i="19" s="1"/>
  <c r="AK12" i="19"/>
  <c r="AH12" i="19"/>
  <c r="AF12" i="19"/>
  <c r="AG12" i="19" s="1"/>
  <c r="AC12" i="19"/>
  <c r="AB12" i="19"/>
  <c r="AA12" i="19"/>
  <c r="Z12" i="19"/>
  <c r="AT11" i="19"/>
  <c r="AS11" i="19"/>
  <c r="AR11" i="19"/>
  <c r="AU11" i="19" s="1"/>
  <c r="AK11" i="19"/>
  <c r="AH11" i="19"/>
  <c r="AF11" i="19"/>
  <c r="AG11" i="19" s="1"/>
  <c r="AC11" i="19"/>
  <c r="AB11" i="19"/>
  <c r="AA11" i="19"/>
  <c r="Z11" i="19"/>
  <c r="AG3" i="19"/>
  <c r="AG1" i="19"/>
  <c r="AB35" i="12"/>
  <c r="C28" i="19" l="1"/>
  <c r="AG5" i="19"/>
  <c r="AE11" i="19"/>
  <c r="AO11" i="19" s="1"/>
  <c r="AD11" i="19"/>
  <c r="AP11" i="19" s="1"/>
  <c r="AJ11" i="19"/>
  <c r="AI11" i="19"/>
  <c r="AN11" i="19"/>
  <c r="AM11" i="19"/>
  <c r="AL11" i="19"/>
  <c r="AO12" i="19"/>
  <c r="AE12" i="19"/>
  <c r="AD12" i="19"/>
  <c r="AP12" i="19" s="1"/>
  <c r="AJ12" i="19"/>
  <c r="AI12" i="19"/>
  <c r="AN12" i="19"/>
  <c r="AM12" i="19"/>
  <c r="AL12" i="19"/>
  <c r="AE13" i="19"/>
  <c r="AJ13" i="19"/>
  <c r="AI13" i="19"/>
  <c r="AN13" i="19"/>
  <c r="AM13" i="19"/>
  <c r="AL13" i="19"/>
  <c r="AO13" i="19" s="1"/>
  <c r="AE14" i="19"/>
  <c r="AJ14" i="19"/>
  <c r="AI14" i="19"/>
  <c r="AN14" i="19"/>
  <c r="AM14" i="19"/>
  <c r="AL14" i="19"/>
  <c r="AO14" i="19" s="1"/>
  <c r="AO15" i="19"/>
  <c r="AE15" i="19"/>
  <c r="AJ15" i="19"/>
  <c r="AI15" i="19"/>
  <c r="AN15" i="19"/>
  <c r="AM15" i="19"/>
  <c r="AL15" i="19"/>
  <c r="AE16" i="19"/>
  <c r="AD16" i="19"/>
  <c r="AP16" i="19" s="1"/>
  <c r="AJ16" i="19"/>
  <c r="AI16" i="19"/>
  <c r="AO16" i="19" s="1"/>
  <c r="AN16" i="19"/>
  <c r="AM16" i="19"/>
  <c r="AL16" i="19"/>
  <c r="AE17" i="19"/>
  <c r="AD17" i="19"/>
  <c r="AP17" i="19" s="1"/>
  <c r="AJ17" i="19"/>
  <c r="AI17" i="19"/>
  <c r="AO17" i="19" s="1"/>
  <c r="AN17" i="19"/>
  <c r="AM17" i="19"/>
  <c r="AL17" i="19"/>
  <c r="AE18" i="19"/>
  <c r="AJ18" i="19"/>
  <c r="AI18" i="19"/>
  <c r="AO18" i="19" s="1"/>
  <c r="AN18" i="19"/>
  <c r="AM18" i="19"/>
  <c r="AL18" i="19"/>
  <c r="AO19" i="19"/>
  <c r="AE19" i="19"/>
  <c r="AJ19" i="19"/>
  <c r="AI19" i="19"/>
  <c r="AN19" i="19"/>
  <c r="AM19" i="19"/>
  <c r="AL19" i="19"/>
  <c r="AO20" i="19"/>
  <c r="AE20" i="19"/>
  <c r="AJ20" i="19"/>
  <c r="AI20" i="19"/>
  <c r="AN20" i="19"/>
  <c r="AM20" i="19"/>
  <c r="AL20" i="19"/>
  <c r="AO21" i="19"/>
  <c r="AE21" i="19"/>
  <c r="AJ21" i="19"/>
  <c r="AI21" i="19"/>
  <c r="AN21" i="19"/>
  <c r="AM21" i="19"/>
  <c r="AL21" i="19"/>
  <c r="AE22" i="19"/>
  <c r="AD22" i="19"/>
  <c r="AP22" i="19" s="1"/>
  <c r="AJ22" i="19"/>
  <c r="AI22" i="19"/>
  <c r="AO22" i="19" s="1"/>
  <c r="AN22" i="19"/>
  <c r="AM22" i="19"/>
  <c r="AL22" i="19"/>
  <c r="AE23" i="19"/>
  <c r="AO23" i="19" s="1"/>
  <c r="AD23" i="19"/>
  <c r="AP23" i="19" s="1"/>
  <c r="AJ23" i="19"/>
  <c r="AI23" i="19"/>
  <c r="AN23" i="19"/>
  <c r="AM23" i="19"/>
  <c r="AL23" i="19"/>
  <c r="AO24" i="19"/>
  <c r="AE24" i="19"/>
  <c r="AD24" i="19"/>
  <c r="AP24" i="19" s="1"/>
  <c r="AJ24" i="19"/>
  <c r="AI24" i="19"/>
  <c r="AN24" i="19"/>
  <c r="AM24" i="19"/>
  <c r="AL24" i="19"/>
  <c r="AO25" i="19"/>
  <c r="AE25" i="19"/>
  <c r="AD25" i="19"/>
  <c r="AP25" i="19" s="1"/>
  <c r="AJ25" i="19"/>
  <c r="AI25" i="19"/>
  <c r="AN25" i="19"/>
  <c r="AM25" i="19"/>
  <c r="AL25" i="19"/>
  <c r="A19" i="19" l="1"/>
  <c r="A18" i="19"/>
  <c r="A17" i="19"/>
  <c r="A16" i="19"/>
  <c r="A15" i="19"/>
  <c r="A14" i="19"/>
  <c r="A25" i="19"/>
  <c r="AQ25" i="19"/>
  <c r="N25" i="19"/>
  <c r="R25" i="19" s="1"/>
  <c r="A24" i="19"/>
  <c r="AQ24" i="19"/>
  <c r="N24" i="19"/>
  <c r="R24" i="19" s="1"/>
  <c r="A23" i="19"/>
  <c r="AQ23" i="19"/>
  <c r="N23" i="19"/>
  <c r="R23" i="19" s="1"/>
  <c r="AQ22" i="19"/>
  <c r="N22" i="19"/>
  <c r="R22" i="19" s="1"/>
  <c r="A22" i="19"/>
  <c r="A21" i="19"/>
  <c r="AQ21" i="19"/>
  <c r="N21" i="19"/>
  <c r="R21" i="19" s="1"/>
  <c r="A20" i="19"/>
  <c r="AQ20" i="19"/>
  <c r="N20" i="19"/>
  <c r="R20" i="19" s="1"/>
  <c r="AQ19" i="19"/>
  <c r="N19" i="19"/>
  <c r="R19" i="19" s="1"/>
  <c r="AQ18" i="19"/>
  <c r="N18" i="19"/>
  <c r="R18" i="19" s="1"/>
  <c r="AQ17" i="19"/>
  <c r="N17" i="19"/>
  <c r="R17" i="19" s="1"/>
  <c r="AQ16" i="19"/>
  <c r="N16" i="19"/>
  <c r="R16" i="19" s="1"/>
  <c r="AQ15" i="19"/>
  <c r="N15" i="19"/>
  <c r="R15" i="19" s="1"/>
  <c r="AQ14" i="19"/>
  <c r="N14" i="19"/>
  <c r="R14" i="19" s="1"/>
  <c r="AQ13" i="19"/>
  <c r="N13" i="19"/>
  <c r="R13" i="19" s="1"/>
  <c r="AQ12" i="19"/>
  <c r="N12" i="19"/>
  <c r="R12" i="19" s="1"/>
  <c r="A11" i="19"/>
  <c r="AQ11" i="19"/>
  <c r="N11" i="19"/>
  <c r="M34" i="19"/>
  <c r="U25" i="19"/>
  <c r="U24" i="19"/>
  <c r="U23" i="19"/>
  <c r="U22" i="19"/>
  <c r="U21" i="19"/>
  <c r="U20" i="19"/>
  <c r="U19" i="19"/>
  <c r="U18" i="19"/>
  <c r="U17" i="19"/>
  <c r="U16" i="19"/>
  <c r="U15" i="19"/>
  <c r="U14" i="19"/>
  <c r="U13" i="19"/>
  <c r="U12" i="19"/>
  <c r="U11" i="19"/>
  <c r="U26" i="19" s="1"/>
  <c r="L35" i="19"/>
  <c r="L34" i="19"/>
  <c r="T33" i="19"/>
  <c r="S33" i="19"/>
  <c r="L33" i="19"/>
  <c r="T32" i="19"/>
  <c r="W32" i="19" s="1"/>
  <c r="S32" i="19"/>
  <c r="L32" i="19"/>
  <c r="W30" i="19"/>
  <c r="L30" i="19"/>
  <c r="L28" i="19"/>
  <c r="N26" i="19" l="1"/>
  <c r="R11" i="19"/>
  <c r="R26" i="19" s="1"/>
  <c r="W28" i="19" s="1"/>
  <c r="W37" i="19" s="1"/>
  <c r="AC12" i="12" l="1"/>
  <c r="AC13" i="12"/>
  <c r="AC14" i="12"/>
  <c r="AC15" i="12"/>
  <c r="AC16" i="12"/>
  <c r="AC17" i="12"/>
  <c r="AC18" i="12"/>
  <c r="AC19" i="12"/>
  <c r="AC20" i="12"/>
  <c r="AC21" i="12"/>
  <c r="AC22" i="12"/>
  <c r="AC23" i="12"/>
  <c r="AC24" i="12"/>
  <c r="AC25" i="12"/>
  <c r="AC11" i="12"/>
  <c r="X26" i="12"/>
  <c r="T26" i="12"/>
  <c r="AB28" i="12"/>
  <c r="AP21" i="12" l="1"/>
  <c r="AP20" i="12"/>
  <c r="AP19" i="12"/>
  <c r="AP18" i="12"/>
  <c r="AP15" i="12"/>
  <c r="AP14" i="12"/>
  <c r="AP13" i="12"/>
  <c r="AP25" i="12"/>
  <c r="AP24" i="12"/>
  <c r="AP22" i="12"/>
  <c r="AP17" i="12"/>
  <c r="AP16" i="12"/>
  <c r="AP12" i="12"/>
  <c r="AP23" i="12"/>
  <c r="AP11" i="12"/>
  <c r="I37" i="12" l="1"/>
  <c r="AB33" i="12"/>
  <c r="AB32" i="12"/>
  <c r="I34" i="12"/>
  <c r="I33" i="12"/>
  <c r="I32" i="12"/>
  <c r="Z21" i="12"/>
  <c r="AB21" i="12"/>
  <c r="AE21" i="12"/>
  <c r="AH21" i="12"/>
  <c r="AI21" i="12"/>
  <c r="AJ21" i="12"/>
  <c r="AK21" i="12"/>
  <c r="AA21" i="12" s="1"/>
  <c r="AL21" i="12"/>
  <c r="AM21" i="12"/>
  <c r="AN21" i="12"/>
  <c r="AR21" i="12"/>
  <c r="AS21" i="12"/>
  <c r="AT21" i="12"/>
  <c r="AU21" i="12"/>
  <c r="Z22" i="12"/>
  <c r="AB22" i="12"/>
  <c r="AE22" i="12"/>
  <c r="AH22" i="12"/>
  <c r="AI22" i="12"/>
  <c r="AJ22" i="12"/>
  <c r="AK22" i="12"/>
  <c r="AA22" i="12" s="1"/>
  <c r="AL22" i="12"/>
  <c r="AM22" i="12"/>
  <c r="AN22" i="12"/>
  <c r="AR22" i="12"/>
  <c r="AS22" i="12"/>
  <c r="AT22" i="12"/>
  <c r="AU22" i="12"/>
  <c r="Z23" i="12"/>
  <c r="AB23" i="12"/>
  <c r="AE23" i="12"/>
  <c r="AH23" i="12"/>
  <c r="AI23" i="12"/>
  <c r="AJ23" i="12"/>
  <c r="AK23" i="12"/>
  <c r="AA23" i="12" s="1"/>
  <c r="AL23" i="12"/>
  <c r="AM23" i="12"/>
  <c r="AN23" i="12"/>
  <c r="AR23" i="12"/>
  <c r="AS23" i="12"/>
  <c r="AT23" i="12"/>
  <c r="AU23" i="12"/>
  <c r="AB30" i="12"/>
  <c r="Z15" i="12"/>
  <c r="AB15" i="12"/>
  <c r="AE15" i="12"/>
  <c r="AH15" i="12"/>
  <c r="AI15" i="12"/>
  <c r="AJ15" i="12"/>
  <c r="AK15" i="12"/>
  <c r="AA15" i="12" s="1"/>
  <c r="AL15" i="12"/>
  <c r="AM15" i="12"/>
  <c r="AN15" i="12"/>
  <c r="AR15" i="12"/>
  <c r="AS15" i="12"/>
  <c r="AT15" i="12"/>
  <c r="AU15" i="12"/>
  <c r="Z16" i="12"/>
  <c r="AB16" i="12"/>
  <c r="AE16" i="12"/>
  <c r="AH16" i="12"/>
  <c r="AI16" i="12"/>
  <c r="AJ16" i="12"/>
  <c r="AK16" i="12"/>
  <c r="AA16" i="12" s="1"/>
  <c r="AL16" i="12"/>
  <c r="AM16" i="12"/>
  <c r="AN16" i="12"/>
  <c r="AR16" i="12"/>
  <c r="AS16" i="12"/>
  <c r="AT16" i="12"/>
  <c r="AU16" i="12"/>
  <c r="Z17" i="12"/>
  <c r="AB17" i="12"/>
  <c r="AE17" i="12"/>
  <c r="AH17" i="12"/>
  <c r="AI17" i="12"/>
  <c r="AJ17" i="12"/>
  <c r="AK17" i="12"/>
  <c r="AA17" i="12" s="1"/>
  <c r="AL17" i="12"/>
  <c r="AM17" i="12"/>
  <c r="AN17" i="12"/>
  <c r="AR17" i="12"/>
  <c r="AS17" i="12"/>
  <c r="AT17" i="12"/>
  <c r="AU17" i="12"/>
  <c r="Z18" i="12"/>
  <c r="AB18" i="12"/>
  <c r="AE18" i="12"/>
  <c r="AH18" i="12"/>
  <c r="AI18" i="12"/>
  <c r="AJ18" i="12"/>
  <c r="AK18" i="12"/>
  <c r="AA18" i="12" s="1"/>
  <c r="AL18" i="12"/>
  <c r="AM18" i="12"/>
  <c r="AN18" i="12"/>
  <c r="AR18" i="12"/>
  <c r="AS18" i="12"/>
  <c r="AT18" i="12"/>
  <c r="AU18" i="12"/>
  <c r="Z19" i="12"/>
  <c r="AB19" i="12"/>
  <c r="AE19" i="12"/>
  <c r="AH19" i="12"/>
  <c r="AI19" i="12"/>
  <c r="AJ19" i="12"/>
  <c r="AK19" i="12"/>
  <c r="AA19" i="12" s="1"/>
  <c r="AL19" i="12"/>
  <c r="AM19" i="12"/>
  <c r="AN19" i="12"/>
  <c r="AR19" i="12"/>
  <c r="AS19" i="12"/>
  <c r="AT19" i="12"/>
  <c r="AU19" i="12"/>
  <c r="Z20" i="12"/>
  <c r="AB20" i="12"/>
  <c r="AE20" i="12"/>
  <c r="AH20" i="12"/>
  <c r="AI20" i="12"/>
  <c r="AJ20" i="12"/>
  <c r="AK20" i="12"/>
  <c r="AA20" i="12" s="1"/>
  <c r="AL20" i="12"/>
  <c r="AM20" i="12"/>
  <c r="AN20" i="12"/>
  <c r="AR20" i="12"/>
  <c r="AS20" i="12"/>
  <c r="AT20" i="12"/>
  <c r="AU20" i="12"/>
  <c r="Z24" i="12"/>
  <c r="AB24" i="12"/>
  <c r="AE24" i="12"/>
  <c r="AH24" i="12"/>
  <c r="AI24" i="12"/>
  <c r="AJ24" i="12"/>
  <c r="AK24" i="12"/>
  <c r="AA24" i="12" s="1"/>
  <c r="AL24" i="12"/>
  <c r="AM24" i="12"/>
  <c r="AN24" i="12"/>
  <c r="AR24" i="12"/>
  <c r="AS24" i="12"/>
  <c r="AT24" i="12"/>
  <c r="AU24" i="12"/>
  <c r="Z25" i="12"/>
  <c r="AB25" i="12"/>
  <c r="AE25" i="12"/>
  <c r="AH25" i="12"/>
  <c r="AI25" i="12"/>
  <c r="AJ25" i="12"/>
  <c r="AK25" i="12"/>
  <c r="AA25" i="12" s="1"/>
  <c r="AL25" i="12"/>
  <c r="AM25" i="12"/>
  <c r="AN25" i="12"/>
  <c r="AR25" i="12"/>
  <c r="AS25" i="12"/>
  <c r="AT25" i="12"/>
  <c r="AU25" i="12"/>
  <c r="Z12" i="12"/>
  <c r="Z13" i="12"/>
  <c r="Z14" i="12"/>
  <c r="Z11" i="12"/>
  <c r="AG3" i="12"/>
  <c r="AT12" i="12"/>
  <c r="AT13" i="12"/>
  <c r="AT14" i="12"/>
  <c r="AT11" i="12"/>
  <c r="AS12" i="12"/>
  <c r="AS13" i="12"/>
  <c r="AS14" i="12"/>
  <c r="AS11" i="12"/>
  <c r="AR12" i="12"/>
  <c r="AU12" i="12" s="1"/>
  <c r="AR13" i="12"/>
  <c r="AU13" i="12" s="1"/>
  <c r="AR14" i="12"/>
  <c r="AU14" i="12" s="1"/>
  <c r="AR11" i="12"/>
  <c r="AU11" i="12" s="1"/>
  <c r="AB12" i="12"/>
  <c r="AB13" i="12"/>
  <c r="AB14" i="12"/>
  <c r="AB11" i="12"/>
  <c r="AE11" i="12" s="1"/>
  <c r="AH14" i="12"/>
  <c r="AJ14" i="12" s="1"/>
  <c r="AK14" i="12"/>
  <c r="AA14" i="12" s="1"/>
  <c r="AK12" i="12"/>
  <c r="AA12" i="12" s="1"/>
  <c r="AK13" i="12"/>
  <c r="AA13" i="12" s="1"/>
  <c r="AK11" i="12"/>
  <c r="AA11" i="12" s="1"/>
  <c r="AH13" i="12"/>
  <c r="AJ13" i="12" s="1"/>
  <c r="AH12" i="12"/>
  <c r="AJ12" i="12" s="1"/>
  <c r="AH11" i="12"/>
  <c r="AJ11" i="12" s="1"/>
  <c r="D241" i="10"/>
  <c r="C241" i="10"/>
  <c r="B241" i="10"/>
  <c r="A25" i="12" l="1"/>
  <c r="A24" i="12"/>
  <c r="A20" i="12"/>
  <c r="A19" i="12"/>
  <c r="A18" i="12"/>
  <c r="A17" i="12"/>
  <c r="A16" i="12"/>
  <c r="A15" i="12"/>
  <c r="A23" i="12"/>
  <c r="A22" i="12"/>
  <c r="A21" i="12"/>
  <c r="C28" i="12"/>
  <c r="AF21" i="12"/>
  <c r="AF23" i="12"/>
  <c r="AF22" i="12"/>
  <c r="AF25" i="12"/>
  <c r="AF24" i="12"/>
  <c r="AF20" i="12"/>
  <c r="AF19" i="12"/>
  <c r="AF18" i="12"/>
  <c r="AF17" i="12"/>
  <c r="AF16" i="12"/>
  <c r="AF15" i="12"/>
  <c r="AM11" i="12"/>
  <c r="AN11" i="12"/>
  <c r="AM13" i="12"/>
  <c r="AN13" i="12"/>
  <c r="AM12" i="12"/>
  <c r="AN12" i="12"/>
  <c r="AM14" i="12"/>
  <c r="AN14" i="12"/>
  <c r="AG5" i="12"/>
  <c r="L35" i="12" s="1"/>
  <c r="AG1" i="12"/>
  <c r="AI11" i="12"/>
  <c r="AF11" i="12"/>
  <c r="AG11" i="12" s="1"/>
  <c r="AI12" i="12"/>
  <c r="AF12" i="12"/>
  <c r="AG12" i="12" s="1"/>
  <c r="AI13" i="12"/>
  <c r="AF13" i="12"/>
  <c r="AG13" i="12" s="1"/>
  <c r="AI14" i="12"/>
  <c r="AF14" i="12"/>
  <c r="AG14" i="12" s="1"/>
  <c r="AE14" i="12"/>
  <c r="AE13" i="12"/>
  <c r="AE12" i="12"/>
  <c r="AL11" i="12"/>
  <c r="AL13" i="12"/>
  <c r="AL12" i="12"/>
  <c r="AO12" i="12" s="1"/>
  <c r="AL14" i="12"/>
  <c r="AO14" i="12" s="1"/>
  <c r="A14" i="12" l="1"/>
  <c r="A12" i="12"/>
  <c r="A13" i="12"/>
  <c r="A11" i="12"/>
  <c r="N14" i="12"/>
  <c r="N12" i="12"/>
  <c r="AO11" i="12"/>
  <c r="N11" i="12" s="1"/>
  <c r="U12" i="12"/>
  <c r="U13" i="12"/>
  <c r="U14" i="12"/>
  <c r="U15" i="12"/>
  <c r="U16" i="12"/>
  <c r="U17" i="12"/>
  <c r="U18" i="12"/>
  <c r="U19" i="12"/>
  <c r="U20" i="12"/>
  <c r="U21" i="12"/>
  <c r="U22" i="12"/>
  <c r="U23" i="12"/>
  <c r="U24" i="12"/>
  <c r="U25" i="12"/>
  <c r="W30" i="12"/>
  <c r="S33" i="12"/>
  <c r="S32" i="12"/>
  <c r="T32" i="12"/>
  <c r="T33" i="12"/>
  <c r="L28" i="12"/>
  <c r="L30" i="12"/>
  <c r="AO13" i="12"/>
  <c r="N13" i="12" s="1"/>
  <c r="M34" i="12"/>
  <c r="L33" i="12"/>
  <c r="L34" i="12"/>
  <c r="L32" i="12"/>
  <c r="AG21" i="12"/>
  <c r="AO21" i="12"/>
  <c r="N21" i="12" s="1"/>
  <c r="AG22" i="12"/>
  <c r="AO22" i="12"/>
  <c r="N22" i="12" s="1"/>
  <c r="AG23" i="12"/>
  <c r="AO23" i="12"/>
  <c r="N23" i="12" s="1"/>
  <c r="AG20" i="12"/>
  <c r="AO20" i="12"/>
  <c r="N20" i="12" s="1"/>
  <c r="AG15" i="12"/>
  <c r="AO15" i="12"/>
  <c r="AG16" i="12"/>
  <c r="AO16" i="12"/>
  <c r="N16" i="12" s="1"/>
  <c r="AG17" i="12"/>
  <c r="AO17" i="12"/>
  <c r="N17" i="12" s="1"/>
  <c r="AG18" i="12"/>
  <c r="AO18" i="12"/>
  <c r="N18" i="12" s="1"/>
  <c r="AG19" i="12"/>
  <c r="AO19" i="12"/>
  <c r="N19" i="12" s="1"/>
  <c r="AG24" i="12"/>
  <c r="AO24" i="12"/>
  <c r="N24" i="12" s="1"/>
  <c r="AG25" i="12"/>
  <c r="AO25" i="12"/>
  <c r="N25" i="12" s="1"/>
  <c r="U11" i="12"/>
  <c r="U26" i="12" s="1"/>
  <c r="AQ14" i="12"/>
  <c r="R14" i="12" s="1"/>
  <c r="AQ12" i="12"/>
  <c r="R12" i="12" s="1"/>
  <c r="AQ13" i="12"/>
  <c r="AQ11" i="12"/>
  <c r="W32" i="12" l="1"/>
  <c r="R13" i="12"/>
  <c r="AQ15" i="12"/>
  <c r="N15" i="12"/>
  <c r="R15" i="12" s="1"/>
  <c r="AQ21" i="12"/>
  <c r="R21" i="12" s="1"/>
  <c r="AQ20" i="12"/>
  <c r="R20" i="12" s="1"/>
  <c r="AQ25" i="12"/>
  <c r="R25" i="12" s="1"/>
  <c r="AQ24" i="12"/>
  <c r="R24" i="12" s="1"/>
  <c r="AQ22" i="12"/>
  <c r="R22" i="12" s="1"/>
  <c r="AQ23" i="12"/>
  <c r="R23" i="12" s="1"/>
  <c r="AQ19" i="12"/>
  <c r="R19" i="12" s="1"/>
  <c r="AQ16" i="12"/>
  <c r="R16" i="12" s="1"/>
  <c r="AQ18" i="12"/>
  <c r="R18" i="12" s="1"/>
  <c r="AQ17" i="12"/>
  <c r="R17" i="12" s="1"/>
  <c r="R11" i="12"/>
  <c r="N26" i="12" l="1"/>
  <c r="R26" i="12" l="1"/>
  <c r="W28" i="12" s="1"/>
  <c r="W37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</authors>
  <commentList>
    <comment ref="A7" authorId="0" shapeId="0" xr:uid="{745293E9-3D22-44FB-9D29-E8B6FD4CD54D}">
      <text>
        <r>
          <rPr>
            <b/>
            <sz val="9"/>
            <color indexed="81"/>
            <rFont val="Segoe UI"/>
            <family val="2"/>
          </rPr>
          <t>Hinweis</t>
        </r>
      </text>
    </comment>
    <comment ref="E10" authorId="0" shapeId="0" xr:uid="{7027F5BD-82D7-4E62-9215-DC8D1C83C1ED}">
      <text>
        <r>
          <rPr>
            <sz val="9"/>
            <color indexed="81"/>
            <rFont val="Segoe UI"/>
            <family val="2"/>
          </rPr>
          <t>Für</t>
        </r>
        <r>
          <rPr>
            <b/>
            <sz val="9"/>
            <color indexed="81"/>
            <rFont val="Segoe UI"/>
            <family val="2"/>
          </rPr>
          <t xml:space="preserve"> Reisetage mit eintägigen Reisen </t>
        </r>
        <r>
          <rPr>
            <sz val="9"/>
            <color indexed="81"/>
            <rFont val="Segoe UI"/>
            <family val="2"/>
          </rPr>
          <t xml:space="preserve">werden Verpflegungspauschalen nur gewährt, wenn die Reisedauer mehr als 8 Stunden betragen hat. </t>
        </r>
      </text>
    </comment>
    <comment ref="S10" authorId="0" shapeId="0" xr:uid="{CCEED311-F7A3-408A-9A11-3BD6B582CC77}">
      <text>
        <r>
          <rPr>
            <sz val="9"/>
            <color indexed="81"/>
            <rFont val="Segoe UI"/>
            <family val="2"/>
          </rPr>
          <t xml:space="preserve">Bitte beachten Sie, dass Angaben nur an solchen Tagen zu machen sind, an denen eine </t>
        </r>
        <r>
          <rPr>
            <b/>
            <sz val="9"/>
            <color indexed="81"/>
            <rFont val="Segoe UI"/>
            <family val="2"/>
          </rPr>
          <t xml:space="preserve">Übernachtung durch den Arbeitnehmer finanziert </t>
        </r>
        <r>
          <rPr>
            <sz val="9"/>
            <color indexed="81"/>
            <rFont val="Segoe UI"/>
            <family val="2"/>
          </rPr>
          <t xml:space="preserve">wurde. 
Bitte beachten Sie zudem, dass an </t>
        </r>
        <r>
          <rPr>
            <b/>
            <sz val="9"/>
            <color indexed="81"/>
            <rFont val="Segoe UI"/>
            <family val="2"/>
          </rPr>
          <t>Reisetagen mit einer Beförderung mit Flugzeugen/ auf Schiffen</t>
        </r>
        <r>
          <rPr>
            <sz val="9"/>
            <color indexed="81"/>
            <rFont val="Segoe UI"/>
            <family val="2"/>
          </rPr>
          <t xml:space="preserve"> jeweils der Tag maßgebend ist, der als Aufenthaltsort angegeben wurde. </t>
        </r>
      </text>
    </comment>
    <comment ref="T34" authorId="0" shapeId="0" xr:uid="{2AF0586B-67D0-44C2-8439-7B1C88E6C3E7}">
      <text>
        <r>
          <rPr>
            <sz val="9"/>
            <color indexed="81"/>
            <rFont val="Segoe UI"/>
            <family val="2"/>
          </rPr>
          <t xml:space="preserve">Für die betriebliche/berufliche Nutzung eines privaten Fahrrads  können </t>
        </r>
        <r>
          <rPr>
            <b/>
            <sz val="9"/>
            <color indexed="81"/>
            <rFont val="Segoe UI"/>
            <family val="2"/>
          </rPr>
          <t>pro Monat 5 Euro</t>
        </r>
        <r>
          <rPr>
            <sz val="9"/>
            <color indexed="81"/>
            <rFont val="Segoe UI"/>
            <family val="2"/>
          </rPr>
          <t xml:space="preserve"> angesetzt werden - vorausgesetzt, das Fahrrad wurde für </t>
        </r>
        <r>
          <rPr>
            <b/>
            <sz val="9"/>
            <color indexed="81"/>
            <rFont val="Segoe UI"/>
            <family val="2"/>
          </rPr>
          <t>mindestens 2 Fahrstrecken</t>
        </r>
        <r>
          <rPr>
            <sz val="9"/>
            <color indexed="81"/>
            <rFont val="Segoe UI"/>
            <family val="2"/>
          </rPr>
          <t xml:space="preserve"> verwendet. 
</t>
        </r>
        <r>
          <rPr>
            <u/>
            <sz val="9"/>
            <color indexed="81"/>
            <rFont val="Segoe UI"/>
            <family val="2"/>
          </rPr>
          <t>Gilt nicht für</t>
        </r>
        <r>
          <rPr>
            <sz val="9"/>
            <color indexed="81"/>
            <rFont val="Segoe UI"/>
            <family val="2"/>
          </rPr>
          <t xml:space="preserve"> Fahrten zwischen Wohnung und Betriebsstätte bzw. regelmäßiger Tätigkeitsstätte.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</authors>
  <commentList>
    <comment ref="E10" authorId="0" shapeId="0" xr:uid="{92B09F02-7D08-4CFA-902F-722A4658EBF1}">
      <text>
        <r>
          <rPr>
            <sz val="9"/>
            <color indexed="81"/>
            <rFont val="Segoe UI"/>
            <family val="2"/>
          </rPr>
          <t>Für</t>
        </r>
        <r>
          <rPr>
            <b/>
            <sz val="9"/>
            <color indexed="81"/>
            <rFont val="Segoe UI"/>
            <family val="2"/>
          </rPr>
          <t xml:space="preserve"> Reisetage mit eintägigen Reisen </t>
        </r>
        <r>
          <rPr>
            <sz val="9"/>
            <color indexed="81"/>
            <rFont val="Segoe UI"/>
            <family val="2"/>
          </rPr>
          <t xml:space="preserve">werden Verpflegungspauschalen nur gewährt, wenn die Reisedauer mehr als 8 Stunden betragen hat. </t>
        </r>
      </text>
    </comment>
    <comment ref="S10" authorId="0" shapeId="0" xr:uid="{398A3317-60D0-4150-A928-9EA923B63BCC}">
      <text>
        <r>
          <rPr>
            <sz val="9"/>
            <color indexed="81"/>
            <rFont val="Segoe UI"/>
            <family val="2"/>
          </rPr>
          <t xml:space="preserve">Bitte beachten Sie, dass Angaben nur an solchen Tagen zu machen sind, an denen eine </t>
        </r>
        <r>
          <rPr>
            <b/>
            <sz val="9"/>
            <color indexed="81"/>
            <rFont val="Segoe UI"/>
            <family val="2"/>
          </rPr>
          <t xml:space="preserve">Übernachtung durch den Arbeitnehmer finanziert </t>
        </r>
        <r>
          <rPr>
            <sz val="9"/>
            <color indexed="81"/>
            <rFont val="Segoe UI"/>
            <family val="2"/>
          </rPr>
          <t xml:space="preserve">wurde. 
Bitte beachten Sie zudem, dass an </t>
        </r>
        <r>
          <rPr>
            <b/>
            <sz val="9"/>
            <color indexed="81"/>
            <rFont val="Segoe UI"/>
            <family val="2"/>
          </rPr>
          <t>Reisetagen mit einer Beförderung mit Flugzeugen/ auf Schiffen</t>
        </r>
        <r>
          <rPr>
            <sz val="9"/>
            <color indexed="81"/>
            <rFont val="Segoe UI"/>
            <family val="2"/>
          </rPr>
          <t xml:space="preserve"> jeweils der Tag maßgebend ist, der als Aufenthaltsort angegeben wurde. </t>
        </r>
      </text>
    </comment>
    <comment ref="T34" authorId="0" shapeId="0" xr:uid="{BD64AFCD-9EFC-45AA-906E-1397754A2A69}">
      <text>
        <r>
          <rPr>
            <sz val="9"/>
            <color indexed="81"/>
            <rFont val="Segoe UI"/>
            <family val="2"/>
          </rPr>
          <t xml:space="preserve">Für die betriebliche/berufliche Nutzung eines privaten Fahrrads  können </t>
        </r>
        <r>
          <rPr>
            <b/>
            <sz val="9"/>
            <color indexed="81"/>
            <rFont val="Segoe UI"/>
            <family val="2"/>
          </rPr>
          <t>pro Monat 5 Euro</t>
        </r>
        <r>
          <rPr>
            <sz val="9"/>
            <color indexed="81"/>
            <rFont val="Segoe UI"/>
            <family val="2"/>
          </rPr>
          <t xml:space="preserve"> angesetzt werden - vorausgesetzt, das Fahrrad wurde für </t>
        </r>
        <r>
          <rPr>
            <b/>
            <sz val="9"/>
            <color indexed="81"/>
            <rFont val="Segoe UI"/>
            <family val="2"/>
          </rPr>
          <t>mindestens 2 Fahrstrecken</t>
        </r>
        <r>
          <rPr>
            <sz val="9"/>
            <color indexed="81"/>
            <rFont val="Segoe UI"/>
            <family val="2"/>
          </rPr>
          <t xml:space="preserve"> verwendet. 
</t>
        </r>
        <r>
          <rPr>
            <u/>
            <sz val="9"/>
            <color indexed="81"/>
            <rFont val="Segoe UI"/>
            <family val="2"/>
          </rPr>
          <t>Gilt nicht für</t>
        </r>
        <r>
          <rPr>
            <sz val="9"/>
            <color indexed="81"/>
            <rFont val="Segoe UI"/>
            <family val="2"/>
          </rPr>
          <t xml:space="preserve"> Fahrten zwischen Wohnung und Betriebsstätte bzw. regelmäßiger Tätigkeitsstätte.</t>
        </r>
      </text>
    </comment>
  </commentList>
</comments>
</file>

<file path=xl/sharedStrings.xml><?xml version="1.0" encoding="utf-8"?>
<sst xmlns="http://schemas.openxmlformats.org/spreadsheetml/2006/main" count="579" uniqueCount="375">
  <si>
    <t>Übernachtungskosten</t>
  </si>
  <si>
    <t>EUR</t>
  </si>
  <si>
    <t>Datum</t>
  </si>
  <si>
    <t>Übernachtung</t>
  </si>
  <si>
    <t>Afghanistan</t>
  </si>
  <si>
    <t>Ägypten</t>
  </si>
  <si>
    <t>Äthiopien</t>
  </si>
  <si>
    <t>Äquatorialguinea</t>
  </si>
  <si>
    <t>Albanien</t>
  </si>
  <si>
    <t>Algerien</t>
  </si>
  <si>
    <t>Andorra</t>
  </si>
  <si>
    <t>Angola</t>
  </si>
  <si>
    <t>Antigua und Barbuda</t>
  </si>
  <si>
    <t>Argentinien</t>
  </si>
  <si>
    <t>Armenien</t>
  </si>
  <si>
    <t>Aserbaidschan</t>
  </si>
  <si>
    <t>Bahrain</t>
  </si>
  <si>
    <t>Bangladesch</t>
  </si>
  <si>
    <t>Barbados</t>
  </si>
  <si>
    <t>Belgien</t>
  </si>
  <si>
    <t>Benin</t>
  </si>
  <si>
    <t>Bolivien</t>
  </si>
  <si>
    <t>Botsuana</t>
  </si>
  <si>
    <t>Brunei (Darussalam)</t>
  </si>
  <si>
    <t>Bulgarien</t>
  </si>
  <si>
    <t>Burkina Faso</t>
  </si>
  <si>
    <t>Burundi</t>
  </si>
  <si>
    <t>Chile</t>
  </si>
  <si>
    <t>Costa Rica</t>
  </si>
  <si>
    <t>Dänemark</t>
  </si>
  <si>
    <t>Dominica</t>
  </si>
  <si>
    <t>Dominikanische Republik</t>
  </si>
  <si>
    <t>Dschibuti</t>
  </si>
  <si>
    <t>Ecuador</t>
  </si>
  <si>
    <t>El Salvador</t>
  </si>
  <si>
    <t>Eritrea</t>
  </si>
  <si>
    <t>Estland</t>
  </si>
  <si>
    <t>Fidschi</t>
  </si>
  <si>
    <t>Finnland</t>
  </si>
  <si>
    <t>Gabun</t>
  </si>
  <si>
    <t>Gambia</t>
  </si>
  <si>
    <t>Georgien</t>
  </si>
  <si>
    <t>Ghana</t>
  </si>
  <si>
    <t>Grenada</t>
  </si>
  <si>
    <t>Guatemala</t>
  </si>
  <si>
    <t>Guinea</t>
  </si>
  <si>
    <t>Guinea-Bissau</t>
  </si>
  <si>
    <t>Guyana</t>
  </si>
  <si>
    <t>Haiti</t>
  </si>
  <si>
    <t>Honduras</t>
  </si>
  <si>
    <t>Indonesien</t>
  </si>
  <si>
    <t>Iran, Islamische Republik</t>
  </si>
  <si>
    <t>Irland</t>
  </si>
  <si>
    <t>Island</t>
  </si>
  <si>
    <t>Israel</t>
  </si>
  <si>
    <t>Jamaika</t>
  </si>
  <si>
    <t>Jemen</t>
  </si>
  <si>
    <t>Jordanien</t>
  </si>
  <si>
    <t>Kambodscha</t>
  </si>
  <si>
    <t>Kamerun</t>
  </si>
  <si>
    <t>Kap Verde</t>
  </si>
  <si>
    <t>Kasachstan</t>
  </si>
  <si>
    <t>Katar</t>
  </si>
  <si>
    <t>Kenia</t>
  </si>
  <si>
    <t>Kirgisistan</t>
  </si>
  <si>
    <t>Kolumbien</t>
  </si>
  <si>
    <t>Kosovo</t>
  </si>
  <si>
    <t>Kroatien</t>
  </si>
  <si>
    <t>Kuba</t>
  </si>
  <si>
    <t>Kuwait</t>
  </si>
  <si>
    <t>Laos</t>
  </si>
  <si>
    <t>Lesotho</t>
  </si>
  <si>
    <t>Lettland</t>
  </si>
  <si>
    <t>Libanon</t>
  </si>
  <si>
    <t>Libyen</t>
  </si>
  <si>
    <t>Liechtenstein</t>
  </si>
  <si>
    <t>Litauen</t>
  </si>
  <si>
    <t>Luxemburg</t>
  </si>
  <si>
    <t>Madagaskar</t>
  </si>
  <si>
    <t>Malawi</t>
  </si>
  <si>
    <t>Malaysia</t>
  </si>
  <si>
    <t>Malediven</t>
  </si>
  <si>
    <t>Mali</t>
  </si>
  <si>
    <t>Malta</t>
  </si>
  <si>
    <t>Marokko</t>
  </si>
  <si>
    <t>Marshall Inseln</t>
  </si>
  <si>
    <t>Mauretanien</t>
  </si>
  <si>
    <t>Mauritius</t>
  </si>
  <si>
    <t>Mazedonien</t>
  </si>
  <si>
    <t>Mexiko</t>
  </si>
  <si>
    <t>Mikronesien</t>
  </si>
  <si>
    <t>Moldau, Republik</t>
  </si>
  <si>
    <t>Monaco</t>
  </si>
  <si>
    <t>Mongolei</t>
  </si>
  <si>
    <t>Montenegro</t>
  </si>
  <si>
    <t>Mosambik</t>
  </si>
  <si>
    <t>Namibia</t>
  </si>
  <si>
    <t>Nepal</t>
  </si>
  <si>
    <t>Neuseeland</t>
  </si>
  <si>
    <t>Nicaragua</t>
  </si>
  <si>
    <t>Niederlande</t>
  </si>
  <si>
    <t>Niger</t>
  </si>
  <si>
    <t>Nigeria</t>
  </si>
  <si>
    <t>Norwegen</t>
  </si>
  <si>
    <t>Österreich</t>
  </si>
  <si>
    <t>Oman</t>
  </si>
  <si>
    <t>Palau</t>
  </si>
  <si>
    <t>Panama</t>
  </si>
  <si>
    <t>Papua-Neuguinea</t>
  </si>
  <si>
    <t>Paraguay</t>
  </si>
  <si>
    <t>Peru</t>
  </si>
  <si>
    <t>Philippinen</t>
  </si>
  <si>
    <t>Portugal</t>
  </si>
  <si>
    <t>Ruanda</t>
  </si>
  <si>
    <t>Sambia</t>
  </si>
  <si>
    <t>Samoa</t>
  </si>
  <si>
    <t>San Marino</t>
  </si>
  <si>
    <t>Schweden</t>
  </si>
  <si>
    <t>Senegal</t>
  </si>
  <si>
    <t>Serbien</t>
  </si>
  <si>
    <t>Sierra Leone</t>
  </si>
  <si>
    <t>Simbabwe</t>
  </si>
  <si>
    <t>Singapur</t>
  </si>
  <si>
    <t>Slowakische Republik</t>
  </si>
  <si>
    <t>Slowenien</t>
  </si>
  <si>
    <t>St. Kitts und Nevis</t>
  </si>
  <si>
    <t>St. Lucia</t>
  </si>
  <si>
    <t>St. Vincent und die Grenadinen</t>
  </si>
  <si>
    <t>Sudan</t>
  </si>
  <si>
    <t>Südsudan</t>
  </si>
  <si>
    <t>Suriname</t>
  </si>
  <si>
    <t>Tadschikistan</t>
  </si>
  <si>
    <t>Taiwan</t>
  </si>
  <si>
    <t>Tansania</t>
  </si>
  <si>
    <t>Thailand</t>
  </si>
  <si>
    <t>Togo</t>
  </si>
  <si>
    <t>Tonga</t>
  </si>
  <si>
    <t>Trinidad und Tobago</t>
  </si>
  <si>
    <t>Tschad</t>
  </si>
  <si>
    <t>Tschechische Republik</t>
  </si>
  <si>
    <t>Tunesien</t>
  </si>
  <si>
    <t>Turkmenistan</t>
  </si>
  <si>
    <t>Uganda</t>
  </si>
  <si>
    <t>Ukraine</t>
  </si>
  <si>
    <t>Ungarn</t>
  </si>
  <si>
    <t>Uruguay</t>
  </si>
  <si>
    <t>Usbekistan</t>
  </si>
  <si>
    <t>Venezuela</t>
  </si>
  <si>
    <t>Vietnam</t>
  </si>
  <si>
    <t>Weißrussland</t>
  </si>
  <si>
    <t>Zentralafrikanische Republik</t>
  </si>
  <si>
    <t>Zypern</t>
  </si>
  <si>
    <t>Deutschland</t>
  </si>
  <si>
    <t>Erläuterungen</t>
  </si>
  <si>
    <t>Name:</t>
  </si>
  <si>
    <t>Kongo, Republik</t>
  </si>
  <si>
    <t>Korea, Republik</t>
  </si>
  <si>
    <t>Frühstück</t>
  </si>
  <si>
    <t>Abendessen</t>
  </si>
  <si>
    <t>Mittagessen</t>
  </si>
  <si>
    <t>Vereinigtes Königreich von Großbritannien und Nordirland: London</t>
  </si>
  <si>
    <t>Vereinigtes Königreich von Großbritannien und Nordirland (Übriges)</t>
  </si>
  <si>
    <t>Vereinigte Arabischen Emirate</t>
  </si>
  <si>
    <t>Türkei: Izmir</t>
  </si>
  <si>
    <t>Türkei: Istanbul</t>
  </si>
  <si>
    <t>Türkei (Übrige)</t>
  </si>
  <si>
    <t>Südafrika: Kapstadt</t>
  </si>
  <si>
    <t>Südafrika: Johannisburg</t>
  </si>
  <si>
    <t>Südafrika (Übriges)</t>
  </si>
  <si>
    <t>Syrien</t>
  </si>
  <si>
    <t>Sri Lanka (früher: Ceylon)</t>
  </si>
  <si>
    <t>Spanien: Palma de Mallorca</t>
  </si>
  <si>
    <t>Spanien: Madrid</t>
  </si>
  <si>
    <t>Spanien: Kanarische Inseln</t>
  </si>
  <si>
    <t>Spanien: Barcelona</t>
  </si>
  <si>
    <t>Spanien (Übriges)</t>
  </si>
  <si>
    <t>Schweiz: Genf</t>
  </si>
  <si>
    <t>Schweiz (Übrige)</t>
  </si>
  <si>
    <t>Saudiarabien: Riad</t>
  </si>
  <si>
    <t>Saudiarabien: Djidda</t>
  </si>
  <si>
    <t>Saudiarabien (Übriges)</t>
  </si>
  <si>
    <t>Russische Föderation: Sankt Petersburg</t>
  </si>
  <si>
    <t>Russische Föderation: Moskau</t>
  </si>
  <si>
    <t>Russische Föderation (Übrige)</t>
  </si>
  <si>
    <t>Rumänien: Bukarest</t>
  </si>
  <si>
    <t>Rumänien (Übriges)</t>
  </si>
  <si>
    <t>Polen: Warschau</t>
  </si>
  <si>
    <t>Polen: Krakau</t>
  </si>
  <si>
    <t>Polen: Danzig</t>
  </si>
  <si>
    <t>Polen: Breslau</t>
  </si>
  <si>
    <t>Polen (Übriges)</t>
  </si>
  <si>
    <t>Pakistan: Islamabad</t>
  </si>
  <si>
    <t>Pakistan (Übriges)</t>
  </si>
  <si>
    <t>Myanmar (früher: Burma)</t>
  </si>
  <si>
    <t>Korea, Demokratische Volksrepublik (Nordkorea)</t>
  </si>
  <si>
    <t>Kongo, Demokratische Republik (früher: Zaire)</t>
  </si>
  <si>
    <t>Kanada: Vancouver</t>
  </si>
  <si>
    <t>Kanada: Toronto</t>
  </si>
  <si>
    <t>Kanada: Ottawa</t>
  </si>
  <si>
    <t>Kanada (Übriges)</t>
  </si>
  <si>
    <t>Japan: Tokio</t>
  </si>
  <si>
    <t>Japan (Übriges)</t>
  </si>
  <si>
    <t>Italien: Rom</t>
  </si>
  <si>
    <t>Italien: Mailand</t>
  </si>
  <si>
    <t>Italien (Übriges)</t>
  </si>
  <si>
    <t>Indien: Neu-Delhi</t>
  </si>
  <si>
    <t>Indien (Übriges)</t>
  </si>
  <si>
    <t>Griechenland: Athen</t>
  </si>
  <si>
    <t>Griechenland (Übriges)</t>
  </si>
  <si>
    <t>Frankreich (Übriges)</t>
  </si>
  <si>
    <t>Côte d'Ivoire (Elfenbeinküste)</t>
  </si>
  <si>
    <t>China: Shanghai</t>
  </si>
  <si>
    <t>China: Peking</t>
  </si>
  <si>
    <t>China: Hongkong</t>
  </si>
  <si>
    <t>China: Chengdu</t>
  </si>
  <si>
    <t>China (Übriges)</t>
  </si>
  <si>
    <t>Brasilien: São Paulo</t>
  </si>
  <si>
    <t>Brasilien: Rio de Janeiro</t>
  </si>
  <si>
    <t>Brasilien: Brasilia</t>
  </si>
  <si>
    <t>Brasilien (Übriges)</t>
  </si>
  <si>
    <t>Bosnien und Herzegowina</t>
  </si>
  <si>
    <t>Australien: Sydney</t>
  </si>
  <si>
    <t>Australien: Canberra</t>
  </si>
  <si>
    <t>Australien (Übriges)</t>
  </si>
  <si>
    <t>Land</t>
  </si>
  <si>
    <t>Aquatorialguinea</t>
  </si>
  <si>
    <t>Jekaterinenburg</t>
  </si>
  <si>
    <t>Indien: Bangalore</t>
  </si>
  <si>
    <t>Pauschale abzgl. Kürzungen</t>
  </si>
  <si>
    <t>Eintägig</t>
  </si>
  <si>
    <t>Auszahlung Reisekosten für den Zeitraum:</t>
  </si>
  <si>
    <t>Ja</t>
  </si>
  <si>
    <t>China: Kanton</t>
  </si>
  <si>
    <t>Russische Föderation: Jekaterinburg</t>
  </si>
  <si>
    <t>Russische Föderation: St. Petersburg</t>
  </si>
  <si>
    <t>Reisezweck
und
Stadt</t>
  </si>
  <si>
    <t>Nordmazedonien</t>
  </si>
  <si>
    <t>São Tomé – Príncipe</t>
  </si>
  <si>
    <t xml:space="preserve">Bitte beachten Sie: </t>
  </si>
  <si>
    <t>Blaue Felder</t>
  </si>
  <si>
    <t>= Pflichtfelder</t>
  </si>
  <si>
    <t>Roter Rahmen</t>
  </si>
  <si>
    <t>Flugzeug
Schiff</t>
  </si>
  <si>
    <t>Tag der Landung bzw. Einschiffung</t>
  </si>
  <si>
    <t>Reisetag ist Teil einer … Reise</t>
  </si>
  <si>
    <t>eintägigen
mehrtägigen</t>
  </si>
  <si>
    <t>mehrtägigen</t>
  </si>
  <si>
    <t>Nicht erfasster Staat</t>
  </si>
  <si>
    <t>USA: Atlanta</t>
  </si>
  <si>
    <t>USA: Boston</t>
  </si>
  <si>
    <t>USA: Chicago</t>
  </si>
  <si>
    <t>USA: Houston</t>
  </si>
  <si>
    <t>USA: Los Angeles</t>
  </si>
  <si>
    <t>USA: Miami</t>
  </si>
  <si>
    <t>USA: New York City</t>
  </si>
  <si>
    <t>USA: San Francisco</t>
  </si>
  <si>
    <t>USA: Washington, D. C.</t>
  </si>
  <si>
    <t>USA: (Übrige)</t>
  </si>
  <si>
    <t>Flugzeug</t>
  </si>
  <si>
    <t>Schiff</t>
  </si>
  <si>
    <t>eintägigen</t>
  </si>
  <si>
    <t>Erstattungsfähige Pauchale</t>
  </si>
  <si>
    <t>Aufwendungen 
lt. Nachweis</t>
  </si>
  <si>
    <t>Verpflegung</t>
  </si>
  <si>
    <t>km
(gesamt)</t>
  </si>
  <si>
    <t xml:space="preserve">Art </t>
  </si>
  <si>
    <t>Fahrtkosten</t>
  </si>
  <si>
    <t>An diesem Tag … die Reise</t>
  </si>
  <si>
    <t>begann
endete</t>
  </si>
  <si>
    <r>
      <t>Aufenthaltsort (</t>
    </r>
    <r>
      <rPr>
        <u/>
        <sz val="9"/>
        <rFont val="Arial"/>
        <family val="2"/>
      </rPr>
      <t>vor 24:00 Uhr erreicht</t>
    </r>
    <r>
      <rPr>
        <sz val="9"/>
        <rFont val="Arial"/>
        <family val="2"/>
      </rPr>
      <t>)</t>
    </r>
  </si>
  <si>
    <t>Land
(Ort)</t>
  </si>
  <si>
    <t>Tag mit Flugzeug?</t>
  </si>
  <si>
    <r>
      <rPr>
        <b/>
        <sz val="10"/>
        <rFont val="Arial"/>
        <family val="2"/>
      </rPr>
      <t>Flugzeug</t>
    </r>
    <r>
      <rPr>
        <sz val="10"/>
        <rFont val="Arial"/>
        <family val="2"/>
      </rPr>
      <t>: Land bei Flugreisen von mehr als 2 Tagen (LStR 9.6 Abs. 3 Nr. 1)</t>
    </r>
  </si>
  <si>
    <r>
      <rPr>
        <b/>
        <sz val="10"/>
        <rFont val="Arial"/>
        <family val="2"/>
      </rPr>
      <t>Schiff</t>
    </r>
    <r>
      <rPr>
        <sz val="10"/>
        <rFont val="Arial"/>
        <family val="2"/>
      </rPr>
      <t>: Land bei Schiffsreisen von mehr als 2 Tagen (LStR 9.6 Abs. 3 Nr. 2)</t>
    </r>
  </si>
  <si>
    <t>Ermittelung Land</t>
  </si>
  <si>
    <t>Hinweis bei Landung an anderem Tag</t>
  </si>
  <si>
    <t>Tag mit Schiff?</t>
  </si>
  <si>
    <t>begann</t>
  </si>
  <si>
    <t>Hinweis bei Tag der Einschiffung</t>
  </si>
  <si>
    <t>Hinweis bei Tag der Ausschiffung</t>
  </si>
  <si>
    <t>Tag mit eintägiger Reise?</t>
  </si>
  <si>
    <t>Tag mit mehrtägiger Reise?</t>
  </si>
  <si>
    <t>24 Stunden</t>
  </si>
  <si>
    <t>An- und Abreisetag</t>
  </si>
  <si>
    <t>endete</t>
  </si>
  <si>
    <t>Mehrtägig
(ohne Flugzeug und Schiff)</t>
  </si>
  <si>
    <t>An diesem Tag erfolge eine Beförderung mit/auf …</t>
  </si>
  <si>
    <t>SVERWEIS für Pauschale</t>
  </si>
  <si>
    <t>Suchkriterium</t>
  </si>
  <si>
    <t>Spaltenindex</t>
  </si>
  <si>
    <t>Falls zuterffend</t>
  </si>
  <si>
    <t>Eingabe nach Hervorhebung</t>
  </si>
  <si>
    <t>Kürzung der Pauschale (Verpflegung)</t>
  </si>
  <si>
    <t>Kürzungs-grundlage</t>
  </si>
  <si>
    <t>Kürzungsfaktor Frühstück</t>
  </si>
  <si>
    <t>Kürzungsfaktor Abendessen</t>
  </si>
  <si>
    <t>Kürzungsfaktor Mittagessen</t>
  </si>
  <si>
    <t>Kürzungsfaktor Summe</t>
  </si>
  <si>
    <t>Ort der Übernachtung</t>
  </si>
  <si>
    <t>Mahlzeiten  gestellt oder separat abgerechnet?</t>
  </si>
  <si>
    <t>Zeitraum:</t>
  </si>
  <si>
    <t>Erstellerrolle: (Unternehmer = 1; Arbeitnehmer = 2)</t>
  </si>
  <si>
    <t>Bei AN: Erstellung für Arbeitgeber = 1; ESt-Erklärung = 2</t>
  </si>
  <si>
    <t>Alle Angaben gemacht?</t>
  </si>
  <si>
    <t>Pflichtfelder vorne</t>
  </si>
  <si>
    <t>Pflichtfelder Land</t>
  </si>
  <si>
    <t>Prüffelder/ Eingaben</t>
  </si>
  <si>
    <t>Pflichteingaben</t>
  </si>
  <si>
    <t>Bitte den Ort des Einschiffungs-Hafens angeben.</t>
  </si>
  <si>
    <t>Bitte den Ort des Ausschiffungs-Hafen angeben.</t>
  </si>
  <si>
    <t>Bitte den Ort des Abflug-Flughafens angeben.</t>
  </si>
  <si>
    <t>Arbeitnehmer</t>
  </si>
  <si>
    <t xml:space="preserve">Ansatz Erstattung: </t>
  </si>
  <si>
    <t>Meinen Arbeitgeber</t>
  </si>
  <si>
    <t>PKW</t>
  </si>
  <si>
    <t>sonst. KFZ:</t>
  </si>
  <si>
    <t>Fahrrad:</t>
  </si>
  <si>
    <r>
      <t xml:space="preserve">Kosten für 
</t>
    </r>
    <r>
      <rPr>
        <u/>
        <sz val="9"/>
        <rFont val="Arial"/>
        <family val="2"/>
      </rPr>
      <t>nicht private</t>
    </r>
    <r>
      <rPr>
        <sz val="9"/>
        <rFont val="Arial"/>
        <family val="2"/>
      </rPr>
      <t xml:space="preserve"> Beförd.mittel
und 
sonst. Kosten</t>
    </r>
  </si>
  <si>
    <t xml:space="preserve">Fahrleistung: </t>
  </si>
  <si>
    <t>nach dem gesetzlichen km-Satz von:</t>
  </si>
  <si>
    <t xml:space="preserve">Fahrtkosten                       </t>
  </si>
  <si>
    <t>PKW:</t>
  </si>
  <si>
    <r>
      <rPr>
        <b/>
        <u/>
        <sz val="9"/>
        <rFont val="Arial"/>
        <family val="2"/>
      </rPr>
      <t>Falls</t>
    </r>
    <r>
      <rPr>
        <u/>
        <sz val="9"/>
        <rFont val="Arial"/>
        <family val="2"/>
      </rPr>
      <t xml:space="preserve">  an diesem Tag </t>
    </r>
    <r>
      <rPr>
        <b/>
        <u/>
        <sz val="9"/>
        <rFont val="Arial"/>
        <family val="2"/>
      </rPr>
      <t>zutreffend</t>
    </r>
    <r>
      <rPr>
        <sz val="9"/>
        <rFont val="Arial"/>
        <family val="2"/>
      </rPr>
      <t xml:space="preserve">:
 Ort des letzten Tätigwerdens im Ausland </t>
    </r>
    <r>
      <rPr>
        <b/>
        <sz val="9"/>
        <rFont val="Arial"/>
        <family val="2"/>
      </rPr>
      <t>?</t>
    </r>
  </si>
  <si>
    <t>Max Muster</t>
  </si>
  <si>
    <t>Aquise Helsinki</t>
  </si>
  <si>
    <t>Rote Ecke</t>
  </si>
  <si>
    <t>= mit Hinweis</t>
  </si>
  <si>
    <t>= Eingabefelder</t>
  </si>
  <si>
    <r>
      <t xml:space="preserve">Bitte erfassen Sie jeden Reisetag in einer gesonderten Zeile !
Bitte befüllen Sie jede Zeile Spalte für Spalte, sofern zutreffend, </t>
    </r>
    <r>
      <rPr>
        <u/>
        <sz val="10"/>
        <color rgb="FFFF0000"/>
        <rFont val="Arial"/>
        <family val="2"/>
      </rPr>
      <t>von links nach rechts</t>
    </r>
    <r>
      <rPr>
        <sz val="10"/>
        <color rgb="FFFF0000"/>
        <rFont val="Arial"/>
        <family val="2"/>
      </rPr>
      <t>.</t>
    </r>
  </si>
  <si>
    <t>Projektbesprechung Huston</t>
  </si>
  <si>
    <t>Besprechung Austin</t>
  </si>
  <si>
    <t>Austin</t>
  </si>
  <si>
    <t>Aquise Jelenia Gora</t>
  </si>
  <si>
    <t>sonst. Kfz</t>
  </si>
  <si>
    <t>mit einem individuellen Betrag in Höhe von:</t>
  </si>
  <si>
    <t>Angaben zu den Reisetagen</t>
  </si>
  <si>
    <t>Verpflegungs-pauschale</t>
  </si>
  <si>
    <r>
      <t xml:space="preserve">Fahrleistung mit </t>
    </r>
    <r>
      <rPr>
        <u/>
        <sz val="9"/>
        <rFont val="Arial"/>
        <family val="2"/>
      </rPr>
      <t>privaten</t>
    </r>
    <r>
      <rPr>
        <sz val="9"/>
        <rFont val="Arial"/>
        <family val="2"/>
      </rPr>
      <t xml:space="preserve"> Beförderungs-mittelen</t>
    </r>
  </si>
  <si>
    <t>Ich erstelle diese Abrechnung für:</t>
  </si>
  <si>
    <t>Ich bin:</t>
  </si>
  <si>
    <t>Meeting Niederlassung Usti nad Labem</t>
  </si>
  <si>
    <t>in Höhe der gesetzlichen Pauschalen</t>
  </si>
  <si>
    <t>Summen</t>
  </si>
  <si>
    <t>1. Quartal</t>
  </si>
  <si>
    <t xml:space="preserve">gesetzlicher Satz: </t>
  </si>
  <si>
    <t>Reisekostenabrechnung (Ausland) 2024</t>
  </si>
  <si>
    <t>Frankreich: Paris, sowie Departments 77, 78, 91 - 95</t>
  </si>
  <si>
    <t>Indien: Chennai</t>
  </si>
  <si>
    <t>Indien: Kalkutta</t>
  </si>
  <si>
    <t>Indien: Mumbai</t>
  </si>
  <si>
    <t>Vatikanstaat</t>
  </si>
  <si>
    <t>Schiff - Einschiffung</t>
  </si>
  <si>
    <t>Schiff - Ausschiffung</t>
  </si>
  <si>
    <t>Anwendungsfall</t>
  </si>
  <si>
    <t>Hinweise</t>
  </si>
  <si>
    <t>Text</t>
  </si>
  <si>
    <t>Reisedauer</t>
  </si>
  <si>
    <t>von</t>
  </si>
  <si>
    <t>bis</t>
  </si>
  <si>
    <t>Dauer</t>
  </si>
  <si>
    <t>Reise-tag</t>
  </si>
  <si>
    <t>Uhrzeit</t>
  </si>
  <si>
    <t>Vorauss. Nicht erfüllt</t>
  </si>
  <si>
    <t>Uhrzeitformat prüfen. Stunden und Minuten mit -&gt; : &lt;- trennen.</t>
  </si>
  <si>
    <t>Hinweis bei Fehler Uhrzeitformat</t>
  </si>
  <si>
    <t>Tag des Abflugs bzw. der Aus-schiffung</t>
  </si>
  <si>
    <t xml:space="preserve">Zurück 
</t>
  </si>
  <si>
    <t>Aufgrund der Komplexität des Reisekostenrechts können mit dieser Arbeitshilfe nicht alle Sachverhalte abgebildet werden. Dies betriftt insbesondere:</t>
  </si>
  <si>
    <t>Bitte beachten Sie 
auch die Hinweise.</t>
  </si>
  <si>
    <t>private Beförderungsmittel</t>
  </si>
  <si>
    <t>nicht private Beförderungsmittel und sonst. Kosten</t>
  </si>
  <si>
    <r>
      <t xml:space="preserve">Beispielabrechnung 
und Hinweise
</t>
    </r>
    <r>
      <rPr>
        <b/>
        <sz val="10"/>
        <color rgb="FFFF0000"/>
        <rFont val="Arial"/>
        <family val="2"/>
      </rPr>
      <t>(bitte klicken)</t>
    </r>
  </si>
  <si>
    <t xml:space="preserve"> - </t>
  </si>
  <si>
    <t xml:space="preserve">Reisen ohne Übernachtung mit einer Reisedauer von mehr als 8 Stunden, die an einem Kalendertag beginnen und erst am folgenden Kalendertag enden. </t>
  </si>
  <si>
    <t>Stand: 14.01.2025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</si>
</sst>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[hh]:mm"/>
    <numFmt numFmtId="166" formatCode="dd/mm/yy;@"/>
    <numFmt numFmtId="167" formatCode="h:mm;@"/>
    <numFmt numFmtId="168" formatCode="_-* #,##0.00\ [$€-407]_-;\-* #,##0.00\ [$€-407]_-;_-* &quot;-&quot;??\ [$€-407]_-;_-@_-"/>
    <numFmt numFmtId="169" formatCode="#,###\ &quot;km&quot;"/>
    <numFmt numFmtId="170" formatCode="dd/mm/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indexed="9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rgb="FFFF0000"/>
      <name val="Arial"/>
      <family val="2"/>
    </font>
    <font>
      <b/>
      <sz val="8"/>
      <color rgb="FFFF0000"/>
      <name val="Arial"/>
      <family val="2"/>
    </font>
    <font>
      <b/>
      <sz val="9"/>
      <color rgb="FFFF0000"/>
      <name val="Arial"/>
      <family val="2"/>
    </font>
    <font>
      <sz val="11"/>
      <name val="Arial"/>
      <family val="2"/>
    </font>
    <font>
      <b/>
      <sz val="12"/>
      <color rgb="FFFF0000"/>
      <name val="Arial"/>
      <family val="2"/>
    </font>
    <font>
      <u/>
      <sz val="9"/>
      <name val="Arial"/>
      <family val="2"/>
    </font>
    <font>
      <b/>
      <sz val="11"/>
      <color rgb="FFFF0000"/>
      <name val="Calibri"/>
      <family val="2"/>
      <scheme val="minor"/>
    </font>
    <font>
      <sz val="9"/>
      <color theme="0" tint="-0.14999847407452621"/>
      <name val="Arial"/>
      <family val="2"/>
    </font>
    <font>
      <sz val="9"/>
      <color theme="0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u/>
      <sz val="9"/>
      <color indexed="81"/>
      <name val="Segoe UI"/>
      <family val="2"/>
    </font>
    <font>
      <b/>
      <u/>
      <sz val="9"/>
      <name val="Arial"/>
      <family val="2"/>
    </font>
    <font>
      <u/>
      <sz val="10"/>
      <color rgb="FFFF0000"/>
      <name val="Arial"/>
      <family val="2"/>
    </font>
    <font>
      <b/>
      <sz val="10"/>
      <color rgb="FFFF0000"/>
      <name val="Arial"/>
      <family val="2"/>
    </font>
    <font>
      <sz val="14"/>
      <color rgb="FFFF0000"/>
      <name val="Arial"/>
      <family val="2"/>
    </font>
    <font>
      <b/>
      <sz val="14"/>
      <color rgb="FFFF0000"/>
      <name val="Arial"/>
      <family val="2"/>
    </font>
    <font>
      <b/>
      <u/>
      <sz val="14"/>
      <color rgb="FFFF0000"/>
      <name val="Arial"/>
      <family val="2"/>
    </font>
    <font>
      <u/>
      <sz val="14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5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FF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FF0000"/>
      </right>
      <top style="thin">
        <color indexed="64"/>
      </top>
      <bottom style="medium">
        <color indexed="64"/>
      </bottom>
      <diagonal/>
    </border>
    <border>
      <left style="thin">
        <color rgb="FFFF0000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/>
      <right style="thin">
        <color rgb="FFFF0000"/>
      </right>
      <top style="thin">
        <color rgb="FFFF0000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FF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6" fillId="0" borderId="0"/>
    <xf numFmtId="44" fontId="7" fillId="0" borderId="0" applyFont="0" applyFill="0" applyBorder="0" applyAlignment="0" applyProtection="0"/>
  </cellStyleXfs>
  <cellXfs count="289">
    <xf numFmtId="0" fontId="0" fillId="0" borderId="0" xfId="0"/>
    <xf numFmtId="164" fontId="11" fillId="3" borderId="0" xfId="4" applyNumberFormat="1" applyFont="1" applyFill="1" applyBorder="1" applyAlignment="1" applyProtection="1">
      <alignment vertical="center"/>
    </xf>
    <xf numFmtId="44" fontId="11" fillId="0" borderId="0" xfId="4" applyFont="1" applyBorder="1" applyAlignment="1" applyProtection="1">
      <alignment horizontal="center" vertical="center"/>
    </xf>
    <xf numFmtId="44" fontId="10" fillId="0" borderId="0" xfId="4" applyFont="1" applyBorder="1" applyAlignment="1" applyProtection="1">
      <alignment vertical="center"/>
    </xf>
    <xf numFmtId="0" fontId="18" fillId="0" borderId="0" xfId="1" applyAlignment="1" applyProtection="1">
      <alignment horizontal="center" wrapText="1"/>
    </xf>
    <xf numFmtId="166" fontId="10" fillId="6" borderId="32" xfId="0" applyNumberFormat="1" applyFont="1" applyFill="1" applyBorder="1" applyAlignment="1" applyProtection="1">
      <alignment horizontal="center" vertical="center" wrapText="1"/>
      <protection locked="0"/>
    </xf>
    <xf numFmtId="165" fontId="10" fillId="6" borderId="32" xfId="0" applyNumberFormat="1" applyFont="1" applyFill="1" applyBorder="1" applyAlignment="1" applyProtection="1">
      <alignment horizontal="center" vertical="center" wrapText="1"/>
      <protection locked="0"/>
    </xf>
    <xf numFmtId="167" fontId="10" fillId="6" borderId="32" xfId="0" applyNumberFormat="1" applyFont="1" applyFill="1" applyBorder="1" applyAlignment="1" applyProtection="1">
      <alignment horizontal="center" vertical="center" wrapText="1"/>
      <protection locked="0"/>
    </xf>
    <xf numFmtId="165" fontId="10" fillId="6" borderId="25" xfId="0" applyNumberFormat="1" applyFont="1" applyFill="1" applyBorder="1" applyAlignment="1" applyProtection="1">
      <alignment horizontal="center" vertical="center" wrapText="1"/>
      <protection locked="0"/>
    </xf>
    <xf numFmtId="167" fontId="10" fillId="6" borderId="25" xfId="0" applyNumberFormat="1" applyFont="1" applyFill="1" applyBorder="1" applyAlignment="1" applyProtection="1">
      <alignment horizontal="center" vertical="center" wrapText="1"/>
      <protection locked="0"/>
    </xf>
    <xf numFmtId="3" fontId="10" fillId="6" borderId="32" xfId="0" applyNumberFormat="1" applyFont="1" applyFill="1" applyBorder="1" applyAlignment="1" applyProtection="1">
      <alignment horizontal="right" vertical="center"/>
      <protection locked="0"/>
    </xf>
    <xf numFmtId="44" fontId="11" fillId="0" borderId="5" xfId="4" applyFont="1" applyBorder="1" applyAlignment="1" applyProtection="1">
      <alignment horizontal="left" vertical="center"/>
    </xf>
    <xf numFmtId="4" fontId="10" fillId="6" borderId="32" xfId="0" applyNumberFormat="1" applyFont="1" applyFill="1" applyBorder="1" applyAlignment="1" applyProtection="1">
      <alignment vertical="center" wrapText="1"/>
      <protection locked="0"/>
    </xf>
    <xf numFmtId="4" fontId="10" fillId="6" borderId="25" xfId="0" applyNumberFormat="1" applyFont="1" applyFill="1" applyBorder="1" applyAlignment="1" applyProtection="1">
      <alignment vertical="center" wrapText="1"/>
      <protection locked="0"/>
    </xf>
    <xf numFmtId="44" fontId="10" fillId="0" borderId="0" xfId="4" applyFont="1" applyFill="1" applyBorder="1" applyAlignment="1" applyProtection="1">
      <alignment vertical="center"/>
    </xf>
    <xf numFmtId="164" fontId="11" fillId="3" borderId="19" xfId="4" applyNumberFormat="1" applyFont="1" applyFill="1" applyBorder="1" applyAlignment="1" applyProtection="1">
      <alignment vertical="center"/>
    </xf>
    <xf numFmtId="164" fontId="11" fillId="0" borderId="0" xfId="4" applyNumberFormat="1" applyFont="1" applyFill="1" applyBorder="1" applyAlignment="1" applyProtection="1">
      <alignment vertical="center"/>
    </xf>
    <xf numFmtId="168" fontId="11" fillId="0" borderId="0" xfId="4" applyNumberFormat="1" applyFont="1" applyFill="1" applyBorder="1" applyAlignment="1" applyProtection="1">
      <alignment horizontal="center" vertical="center"/>
    </xf>
    <xf numFmtId="168" fontId="11" fillId="0" borderId="35" xfId="4" applyNumberFormat="1" applyFont="1" applyFill="1" applyBorder="1" applyAlignment="1" applyProtection="1">
      <alignment horizontal="center" vertical="center"/>
    </xf>
    <xf numFmtId="168" fontId="10" fillId="3" borderId="0" xfId="4" applyNumberFormat="1" applyFont="1" applyFill="1" applyBorder="1" applyAlignment="1" applyProtection="1">
      <alignment vertical="center"/>
    </xf>
    <xf numFmtId="168" fontId="10" fillId="0" borderId="0" xfId="4" applyNumberFormat="1" applyFont="1" applyFill="1" applyBorder="1" applyAlignment="1" applyProtection="1">
      <alignment vertical="center"/>
    </xf>
    <xf numFmtId="168" fontId="26" fillId="3" borderId="0" xfId="4" applyNumberFormat="1" applyFont="1" applyFill="1" applyBorder="1" applyAlignment="1" applyProtection="1">
      <alignment vertical="center"/>
    </xf>
    <xf numFmtId="168" fontId="10" fillId="6" borderId="6" xfId="0" applyNumberFormat="1" applyFont="1" applyFill="1" applyBorder="1" applyAlignment="1" applyProtection="1">
      <alignment vertical="center"/>
      <protection locked="0"/>
    </xf>
    <xf numFmtId="168" fontId="26" fillId="3" borderId="0" xfId="4" applyNumberFormat="1" applyFont="1" applyFill="1" applyBorder="1" applyAlignment="1" applyProtection="1">
      <alignment vertical="center"/>
      <protection locked="0"/>
    </xf>
    <xf numFmtId="0" fontId="17" fillId="2" borderId="0" xfId="3" applyFont="1" applyFill="1" applyAlignment="1">
      <alignment horizontal="center" vertical="center"/>
    </xf>
    <xf numFmtId="0" fontId="17" fillId="2" borderId="0" xfId="3" applyFont="1" applyFill="1" applyAlignment="1">
      <alignment horizontal="center" vertical="center" wrapText="1"/>
    </xf>
    <xf numFmtId="0" fontId="16" fillId="0" borderId="0" xfId="3"/>
    <xf numFmtId="0" fontId="17" fillId="2" borderId="0" xfId="3" applyFont="1" applyFill="1" applyAlignment="1">
      <alignment vertical="center" wrapText="1"/>
    </xf>
    <xf numFmtId="0" fontId="17" fillId="2" borderId="0" xfId="3" applyFont="1" applyFill="1" applyAlignment="1">
      <alignment horizontal="center" vertical="top" wrapText="1"/>
    </xf>
    <xf numFmtId="0" fontId="16" fillId="0" borderId="0" xfId="3" applyAlignment="1">
      <alignment wrapText="1"/>
    </xf>
    <xf numFmtId="0" fontId="16" fillId="0" borderId="0" xfId="3" applyAlignment="1">
      <alignment horizontal="center" wrapText="1"/>
    </xf>
    <xf numFmtId="0" fontId="4" fillId="0" borderId="0" xfId="3" applyFont="1" applyAlignment="1">
      <alignment wrapText="1"/>
    </xf>
    <xf numFmtId="0" fontId="16" fillId="0" borderId="0" xfId="3" applyAlignment="1">
      <alignment horizontal="left" wrapText="1"/>
    </xf>
    <xf numFmtId="0" fontId="3" fillId="0" borderId="0" xfId="3" applyFont="1" applyAlignment="1">
      <alignment wrapText="1"/>
    </xf>
    <xf numFmtId="0" fontId="2" fillId="0" borderId="0" xfId="3" applyFont="1" applyAlignment="1">
      <alignment wrapText="1"/>
    </xf>
    <xf numFmtId="0" fontId="25" fillId="0" borderId="26" xfId="3" applyFont="1" applyBorder="1"/>
    <xf numFmtId="0" fontId="25" fillId="0" borderId="26" xfId="3" applyFont="1" applyBorder="1" applyAlignment="1">
      <alignment horizontal="center"/>
    </xf>
    <xf numFmtId="0" fontId="16" fillId="0" borderId="0" xfId="3" applyAlignment="1">
      <alignment horizontal="center"/>
    </xf>
    <xf numFmtId="2" fontId="10" fillId="6" borderId="32" xfId="0" applyNumberFormat="1" applyFont="1" applyFill="1" applyBorder="1" applyAlignment="1" applyProtection="1">
      <alignment horizontal="center" vertical="center" wrapText="1"/>
      <protection locked="0"/>
    </xf>
    <xf numFmtId="2" fontId="10" fillId="6" borderId="25" xfId="0" applyNumberFormat="1" applyFont="1" applyFill="1" applyBorder="1" applyAlignment="1" applyProtection="1">
      <alignment horizontal="center" vertical="center" wrapText="1"/>
      <protection locked="0"/>
    </xf>
    <xf numFmtId="168" fontId="26" fillId="3" borderId="19" xfId="4" applyNumberFormat="1" applyFont="1" applyFill="1" applyBorder="1" applyAlignment="1" applyProtection="1">
      <alignment vertical="center"/>
    </xf>
    <xf numFmtId="2" fontId="10" fillId="6" borderId="41" xfId="0" applyNumberFormat="1" applyFont="1" applyFill="1" applyBorder="1" applyAlignment="1" applyProtection="1">
      <alignment vertical="center"/>
      <protection locked="0"/>
    </xf>
    <xf numFmtId="1" fontId="10" fillId="6" borderId="32" xfId="0" applyNumberFormat="1" applyFont="1" applyFill="1" applyBorder="1" applyAlignment="1" applyProtection="1">
      <alignment horizontal="right" vertical="center"/>
      <protection locked="0"/>
    </xf>
    <xf numFmtId="3" fontId="10" fillId="6" borderId="25" xfId="0" applyNumberFormat="1" applyFont="1" applyFill="1" applyBorder="1" applyAlignment="1" applyProtection="1">
      <alignment horizontal="right" vertical="center"/>
      <protection locked="0"/>
    </xf>
    <xf numFmtId="2" fontId="10" fillId="6" borderId="42" xfId="0" applyNumberFormat="1" applyFont="1" applyFill="1" applyBorder="1" applyAlignment="1" applyProtection="1">
      <alignment vertical="center"/>
      <protection locked="0"/>
    </xf>
    <xf numFmtId="0" fontId="17" fillId="0" borderId="0" xfId="3" applyFont="1" applyAlignment="1">
      <alignment horizontal="center" wrapText="1"/>
    </xf>
    <xf numFmtId="0" fontId="1" fillId="0" borderId="0" xfId="3" applyFont="1" applyAlignment="1">
      <alignment wrapText="1"/>
    </xf>
    <xf numFmtId="170" fontId="10" fillId="6" borderId="40" xfId="0" applyNumberFormat="1" applyFont="1" applyFill="1" applyBorder="1" applyAlignment="1" applyProtection="1">
      <alignment horizontal="center" vertical="center" wrapText="1"/>
      <protection locked="0"/>
    </xf>
    <xf numFmtId="170" fontId="10" fillId="6" borderId="32" xfId="0" applyNumberFormat="1" applyFont="1" applyFill="1" applyBorder="1" applyAlignment="1" applyProtection="1">
      <alignment horizontal="center" vertical="center" wrapText="1"/>
      <protection locked="0"/>
    </xf>
    <xf numFmtId="170" fontId="10" fillId="6" borderId="25" xfId="0" applyNumberFormat="1" applyFont="1" applyFill="1" applyBorder="1" applyAlignment="1" applyProtection="1">
      <alignment horizontal="center" vertical="center" wrapText="1"/>
      <protection locked="0"/>
    </xf>
    <xf numFmtId="168" fontId="12" fillId="0" borderId="0" xfId="0" applyNumberFormat="1" applyFont="1" applyAlignment="1" applyProtection="1">
      <alignment vertical="center"/>
      <protection locked="0"/>
    </xf>
    <xf numFmtId="0" fontId="13" fillId="5" borderId="17" xfId="0" applyFont="1" applyFill="1" applyBorder="1" applyAlignment="1">
      <alignment vertical="center"/>
    </xf>
    <xf numFmtId="0" fontId="13" fillId="5" borderId="18" xfId="0" applyFont="1" applyFill="1" applyBorder="1" applyAlignment="1">
      <alignment vertical="center"/>
    </xf>
    <xf numFmtId="0" fontId="13" fillId="5" borderId="44" xfId="0" applyFont="1" applyFill="1" applyBorder="1" applyAlignment="1">
      <alignment vertical="center"/>
    </xf>
    <xf numFmtId="0" fontId="6" fillId="0" borderId="0" xfId="0" applyFont="1"/>
    <xf numFmtId="0" fontId="14" fillId="0" borderId="0" xfId="0" applyFont="1"/>
    <xf numFmtId="0" fontId="0" fillId="0" borderId="34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0" fontId="0" fillId="0" borderId="35" xfId="0" applyBorder="1"/>
    <xf numFmtId="0" fontId="22" fillId="6" borderId="0" xfId="0" applyFont="1" applyFill="1" applyAlignment="1">
      <alignment vertical="center"/>
    </xf>
    <xf numFmtId="0" fontId="14" fillId="0" borderId="0" xfId="0" quotePrefix="1" applyFont="1" applyAlignment="1">
      <alignment vertical="center"/>
    </xf>
    <xf numFmtId="0" fontId="6" fillId="3" borderId="45" xfId="0" applyFont="1" applyFill="1" applyBorder="1" applyAlignment="1">
      <alignment vertical="center"/>
    </xf>
    <xf numFmtId="0" fontId="6" fillId="3" borderId="23" xfId="0" applyFont="1" applyFill="1" applyBorder="1" applyAlignment="1">
      <alignment horizontal="right" vertical="center" indent="2"/>
    </xf>
    <xf numFmtId="0" fontId="6" fillId="3" borderId="16" xfId="0" applyFont="1" applyFill="1" applyBorder="1" applyAlignment="1">
      <alignment vertical="center"/>
    </xf>
    <xf numFmtId="0" fontId="6" fillId="3" borderId="46" xfId="0" applyFont="1" applyFill="1" applyBorder="1" applyAlignment="1">
      <alignment vertical="center"/>
    </xf>
    <xf numFmtId="0" fontId="7" fillId="0" borderId="0" xfId="0" applyFont="1"/>
    <xf numFmtId="0" fontId="7" fillId="6" borderId="0" xfId="0" applyFont="1" applyFill="1"/>
    <xf numFmtId="0" fontId="22" fillId="0" borderId="0" xfId="0" applyFont="1" applyAlignment="1">
      <alignment vertical="center"/>
    </xf>
    <xf numFmtId="0" fontId="14" fillId="0" borderId="0" xfId="0" applyFont="1" applyAlignment="1">
      <alignment vertical="top"/>
    </xf>
    <xf numFmtId="0" fontId="5" fillId="0" borderId="3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35" xfId="0" applyFont="1" applyBorder="1" applyAlignment="1">
      <alignment vertical="center"/>
    </xf>
    <xf numFmtId="0" fontId="22" fillId="0" borderId="22" xfId="0" applyFont="1" applyBorder="1" applyAlignment="1">
      <alignment horizontal="center" vertical="center"/>
    </xf>
    <xf numFmtId="0" fontId="14" fillId="0" borderId="43" xfId="0" quotePrefix="1" applyFont="1" applyBorder="1" applyAlignment="1">
      <alignment vertical="center"/>
    </xf>
    <xf numFmtId="0" fontId="6" fillId="3" borderId="47" xfId="0" applyFont="1" applyFill="1" applyBorder="1" applyAlignment="1">
      <alignment vertical="center"/>
    </xf>
    <xf numFmtId="0" fontId="6" fillId="3" borderId="48" xfId="0" applyFont="1" applyFill="1" applyBorder="1" applyAlignment="1">
      <alignment horizontal="right" vertical="center" indent="2"/>
    </xf>
    <xf numFmtId="0" fontId="6" fillId="3" borderId="52" xfId="0" applyFont="1" applyFill="1" applyBorder="1" applyAlignment="1">
      <alignment vertical="center"/>
    </xf>
    <xf numFmtId="0" fontId="6" fillId="3" borderId="53" xfId="0" applyFont="1" applyFill="1" applyBorder="1" applyAlignment="1">
      <alignment vertical="center"/>
    </xf>
    <xf numFmtId="165" fontId="0" fillId="0" borderId="0" xfId="0" applyNumberFormat="1"/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2" fillId="3" borderId="0" xfId="0" applyFont="1" applyFill="1" applyAlignment="1">
      <alignment horizontal="left" vertical="center"/>
    </xf>
    <xf numFmtId="0" fontId="14" fillId="0" borderId="14" xfId="0" quotePrefix="1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9" fillId="0" borderId="0" xfId="0" applyFont="1" applyAlignment="1">
      <alignment vertical="center" wrapText="1"/>
    </xf>
    <xf numFmtId="0" fontId="9" fillId="3" borderId="35" xfId="0" applyFont="1" applyFill="1" applyBorder="1" applyAlignment="1">
      <alignment vertical="center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49" fontId="10" fillId="4" borderId="27" xfId="0" applyNumberFormat="1" applyFont="1" applyFill="1" applyBorder="1" applyAlignment="1">
      <alignment horizontal="center" vertical="center" textRotation="90" wrapText="1"/>
    </xf>
    <xf numFmtId="167" fontId="10" fillId="4" borderId="27" xfId="0" applyNumberFormat="1" applyFont="1" applyFill="1" applyBorder="1" applyAlignment="1">
      <alignment horizontal="center" vertical="center" textRotation="90" wrapText="1"/>
    </xf>
    <xf numFmtId="2" fontId="10" fillId="4" borderId="10" xfId="0" applyNumberFormat="1" applyFont="1" applyFill="1" applyBorder="1" applyAlignment="1">
      <alignment horizontal="center" vertical="center" textRotation="90" wrapText="1"/>
    </xf>
    <xf numFmtId="2" fontId="10" fillId="4" borderId="12" xfId="0" applyNumberFormat="1" applyFont="1" applyFill="1" applyBorder="1" applyAlignment="1">
      <alignment horizontal="center" vertical="center" textRotation="90" wrapText="1"/>
    </xf>
    <xf numFmtId="2" fontId="10" fillId="4" borderId="1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6" fontId="15" fillId="4" borderId="36" xfId="0" applyNumberFormat="1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 vertical="center" wrapText="1"/>
    </xf>
    <xf numFmtId="166" fontId="15" fillId="4" borderId="7" xfId="0" applyNumberFormat="1" applyFont="1" applyFill="1" applyBorder="1" applyAlignment="1">
      <alignment horizontal="center" vertical="center" wrapText="1"/>
    </xf>
    <xf numFmtId="0" fontId="15" fillId="4" borderId="38" xfId="0" applyFont="1" applyFill="1" applyBorder="1" applyAlignment="1">
      <alignment horizontal="center" vertical="center"/>
    </xf>
    <xf numFmtId="167" fontId="15" fillId="4" borderId="36" xfId="0" applyNumberFormat="1" applyFont="1" applyFill="1" applyBorder="1" applyAlignment="1">
      <alignment horizontal="center" vertical="center" textRotation="90"/>
    </xf>
    <xf numFmtId="167" fontId="15" fillId="4" borderId="7" xfId="0" applyNumberFormat="1" applyFont="1" applyFill="1" applyBorder="1" applyAlignment="1">
      <alignment horizontal="center" vertical="center" textRotation="90"/>
    </xf>
    <xf numFmtId="167" fontId="15" fillId="4" borderId="38" xfId="0" applyNumberFormat="1" applyFont="1" applyFill="1" applyBorder="1" applyAlignment="1">
      <alignment horizontal="center" vertical="center"/>
    </xf>
    <xf numFmtId="0" fontId="10" fillId="4" borderId="36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/>
    </xf>
    <xf numFmtId="2" fontId="15" fillId="4" borderId="37" xfId="0" applyNumberFormat="1" applyFont="1" applyFill="1" applyBorder="1" applyAlignment="1">
      <alignment horizontal="center" vertical="center"/>
    </xf>
    <xf numFmtId="2" fontId="15" fillId="4" borderId="39" xfId="0" applyNumberFormat="1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top" wrapText="1"/>
    </xf>
    <xf numFmtId="0" fontId="15" fillId="7" borderId="6" xfId="0" applyFont="1" applyFill="1" applyBorder="1" applyAlignment="1">
      <alignment horizontal="center" vertical="top" wrapText="1"/>
    </xf>
    <xf numFmtId="170" fontId="10" fillId="6" borderId="40" xfId="0" applyNumberFormat="1" applyFont="1" applyFill="1" applyBorder="1" applyAlignment="1">
      <alignment horizontal="center" vertical="center" wrapText="1"/>
    </xf>
    <xf numFmtId="166" fontId="10" fillId="6" borderId="32" xfId="0" applyNumberFormat="1" applyFont="1" applyFill="1" applyBorder="1" applyAlignment="1">
      <alignment horizontal="center" vertical="center" wrapText="1"/>
    </xf>
    <xf numFmtId="167" fontId="10" fillId="6" borderId="32" xfId="0" applyNumberFormat="1" applyFont="1" applyFill="1" applyBorder="1" applyAlignment="1">
      <alignment horizontal="center" vertical="center" wrapText="1"/>
    </xf>
    <xf numFmtId="170" fontId="10" fillId="6" borderId="32" xfId="0" applyNumberFormat="1" applyFont="1" applyFill="1" applyBorder="1" applyAlignment="1">
      <alignment horizontal="center" vertical="center" wrapText="1"/>
    </xf>
    <xf numFmtId="165" fontId="10" fillId="6" borderId="32" xfId="0" applyNumberFormat="1" applyFont="1" applyFill="1" applyBorder="1" applyAlignment="1">
      <alignment horizontal="center" vertical="center" wrapText="1"/>
    </xf>
    <xf numFmtId="2" fontId="10" fillId="0" borderId="32" xfId="0" applyNumberFormat="1" applyFont="1" applyBorder="1" applyAlignment="1">
      <alignment horizontal="center" vertical="center"/>
    </xf>
    <xf numFmtId="2" fontId="10" fillId="0" borderId="32" xfId="0" applyNumberFormat="1" applyFont="1" applyBorder="1" applyAlignment="1">
      <alignment horizontal="center" vertical="center" wrapText="1"/>
    </xf>
    <xf numFmtId="4" fontId="10" fillId="6" borderId="32" xfId="0" applyNumberFormat="1" applyFont="1" applyFill="1" applyBorder="1" applyAlignment="1">
      <alignment vertical="center" wrapText="1"/>
    </xf>
    <xf numFmtId="2" fontId="10" fillId="0" borderId="25" xfId="0" applyNumberFormat="1" applyFont="1" applyBorder="1" applyAlignment="1">
      <alignment horizontal="center" vertical="center"/>
    </xf>
    <xf numFmtId="2" fontId="10" fillId="6" borderId="32" xfId="0" applyNumberFormat="1" applyFont="1" applyFill="1" applyBorder="1" applyAlignment="1">
      <alignment horizontal="center" vertical="center" wrapText="1"/>
    </xf>
    <xf numFmtId="3" fontId="10" fillId="6" borderId="32" xfId="0" applyNumberFormat="1" applyFont="1" applyFill="1" applyBorder="1" applyAlignment="1">
      <alignment horizontal="right" vertical="center"/>
    </xf>
    <xf numFmtId="2" fontId="10" fillId="6" borderId="41" xfId="0" applyNumberFormat="1" applyFont="1" applyFill="1" applyBorder="1" applyAlignment="1">
      <alignment vertical="center"/>
    </xf>
    <xf numFmtId="0" fontId="10" fillId="0" borderId="0" xfId="0" applyFont="1" applyAlignment="1">
      <alignment vertical="center" wrapText="1"/>
    </xf>
    <xf numFmtId="20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10" fillId="6" borderId="0" xfId="0" applyFont="1" applyFill="1" applyAlignment="1">
      <alignment vertical="top" wrapText="1"/>
    </xf>
    <xf numFmtId="1" fontId="10" fillId="6" borderId="32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vertical="top"/>
    </xf>
    <xf numFmtId="0" fontId="10" fillId="6" borderId="0" xfId="0" applyFont="1" applyFill="1" applyAlignment="1">
      <alignment vertical="top"/>
    </xf>
    <xf numFmtId="170" fontId="10" fillId="6" borderId="25" xfId="0" applyNumberFormat="1" applyFont="1" applyFill="1" applyBorder="1" applyAlignment="1">
      <alignment horizontal="center" vertical="center" wrapText="1"/>
    </xf>
    <xf numFmtId="165" fontId="10" fillId="6" borderId="25" xfId="0" applyNumberFormat="1" applyFont="1" applyFill="1" applyBorder="1" applyAlignment="1">
      <alignment horizontal="center" vertical="center" wrapText="1"/>
    </xf>
    <xf numFmtId="167" fontId="10" fillId="6" borderId="25" xfId="0" applyNumberFormat="1" applyFont="1" applyFill="1" applyBorder="1" applyAlignment="1">
      <alignment horizontal="center" vertical="center" wrapText="1"/>
    </xf>
    <xf numFmtId="4" fontId="10" fillId="6" borderId="25" xfId="0" applyNumberFormat="1" applyFont="1" applyFill="1" applyBorder="1" applyAlignment="1">
      <alignment vertical="center" wrapText="1"/>
    </xf>
    <xf numFmtId="2" fontId="10" fillId="6" borderId="25" xfId="0" applyNumberFormat="1" applyFont="1" applyFill="1" applyBorder="1" applyAlignment="1">
      <alignment horizontal="center" vertical="center" wrapText="1"/>
    </xf>
    <xf numFmtId="3" fontId="10" fillId="6" borderId="25" xfId="0" applyNumberFormat="1" applyFont="1" applyFill="1" applyBorder="1" applyAlignment="1">
      <alignment horizontal="right" vertical="center"/>
    </xf>
    <xf numFmtId="2" fontId="10" fillId="6" borderId="42" xfId="0" applyNumberFormat="1" applyFont="1" applyFill="1" applyBorder="1" applyAlignment="1">
      <alignment vertical="center"/>
    </xf>
    <xf numFmtId="0" fontId="21" fillId="0" borderId="0" xfId="0" applyFont="1" applyAlignment="1">
      <alignment horizontal="center" vertical="center" wrapText="1"/>
    </xf>
    <xf numFmtId="166" fontId="10" fillId="4" borderId="8" xfId="0" applyNumberFormat="1" applyFont="1" applyFill="1" applyBorder="1" applyAlignment="1">
      <alignment horizontal="left" vertical="center"/>
    </xf>
    <xf numFmtId="166" fontId="10" fillId="4" borderId="5" xfId="0" applyNumberFormat="1" applyFont="1" applyFill="1" applyBorder="1" applyAlignment="1">
      <alignment horizontal="center" vertical="center" wrapText="1"/>
    </xf>
    <xf numFmtId="165" fontId="10" fillId="4" borderId="5" xfId="0" applyNumberFormat="1" applyFont="1" applyFill="1" applyBorder="1" applyAlignment="1">
      <alignment horizontal="center" vertical="center" wrapText="1"/>
    </xf>
    <xf numFmtId="3" fontId="10" fillId="4" borderId="5" xfId="0" applyNumberFormat="1" applyFont="1" applyFill="1" applyBorder="1" applyAlignment="1">
      <alignment horizontal="right" vertical="center"/>
    </xf>
    <xf numFmtId="3" fontId="10" fillId="4" borderId="5" xfId="0" applyNumberFormat="1" applyFont="1" applyFill="1" applyBorder="1" applyAlignment="1">
      <alignment horizontal="center" vertical="center" wrapText="1"/>
    </xf>
    <xf numFmtId="3" fontId="10" fillId="4" borderId="5" xfId="0" applyNumberFormat="1" applyFont="1" applyFill="1" applyBorder="1" applyAlignment="1">
      <alignment horizontal="right" vertical="center" wrapText="1"/>
    </xf>
    <xf numFmtId="3" fontId="10" fillId="4" borderId="1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vertical="center"/>
    </xf>
    <xf numFmtId="0" fontId="0" fillId="0" borderId="54" xfId="0" applyBorder="1" applyAlignment="1">
      <alignment vertical="center"/>
    </xf>
    <xf numFmtId="0" fontId="0" fillId="0" borderId="5" xfId="0" applyBorder="1" applyAlignment="1">
      <alignment vertical="center"/>
    </xf>
    <xf numFmtId="167" fontId="0" fillId="0" borderId="5" xfId="0" applyNumberFormat="1" applyBorder="1" applyAlignment="1">
      <alignment horizontal="center" vertical="center"/>
    </xf>
    <xf numFmtId="167" fontId="0" fillId="0" borderId="5" xfId="0" applyNumberFormat="1" applyBorder="1" applyAlignment="1">
      <alignment vertical="center"/>
    </xf>
    <xf numFmtId="2" fontId="0" fillId="0" borderId="5" xfId="0" applyNumberFormat="1" applyBorder="1" applyAlignment="1">
      <alignment vertical="center"/>
    </xf>
    <xf numFmtId="0" fontId="10" fillId="0" borderId="0" xfId="0" applyFont="1" applyAlignment="1">
      <alignment vertical="center"/>
    </xf>
    <xf numFmtId="0" fontId="6" fillId="3" borderId="21" xfId="0" applyFont="1" applyFill="1" applyBorder="1" applyAlignment="1">
      <alignment vertical="center"/>
    </xf>
    <xf numFmtId="0" fontId="11" fillId="3" borderId="19" xfId="0" applyFont="1" applyFill="1" applyBorder="1" applyAlignment="1">
      <alignment vertical="center"/>
    </xf>
    <xf numFmtId="0" fontId="26" fillId="3" borderId="0" xfId="0" applyFont="1" applyFill="1" applyAlignment="1">
      <alignment horizontal="right" vertical="center"/>
    </xf>
    <xf numFmtId="0" fontId="10" fillId="0" borderId="3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0" fillId="0" borderId="26" xfId="0" applyFont="1" applyBorder="1" applyAlignment="1">
      <alignment vertical="center"/>
    </xf>
    <xf numFmtId="0" fontId="10" fillId="0" borderId="3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7" fontId="10" fillId="0" borderId="0" xfId="0" applyNumberFormat="1" applyFont="1" applyAlignment="1">
      <alignment horizontal="center" vertical="center"/>
    </xf>
    <xf numFmtId="167" fontId="10" fillId="0" borderId="0" xfId="0" applyNumberFormat="1" applyFont="1" applyAlignment="1">
      <alignment vertical="center"/>
    </xf>
    <xf numFmtId="2" fontId="10" fillId="0" borderId="0" xfId="0" applyNumberFormat="1" applyFont="1" applyAlignment="1">
      <alignment vertical="center"/>
    </xf>
    <xf numFmtId="0" fontId="10" fillId="0" borderId="35" xfId="0" applyFont="1" applyBorder="1" applyAlignment="1">
      <alignment vertical="center"/>
    </xf>
    <xf numFmtId="0" fontId="6" fillId="3" borderId="34" xfId="2" applyFont="1" applyFill="1" applyBorder="1" applyAlignment="1">
      <alignment vertical="center"/>
    </xf>
    <xf numFmtId="0" fontId="11" fillId="3" borderId="0" xfId="2" applyFont="1" applyFill="1" applyAlignment="1">
      <alignment vertical="center"/>
    </xf>
    <xf numFmtId="0" fontId="10" fillId="0" borderId="34" xfId="2" applyFont="1" applyBorder="1" applyAlignment="1">
      <alignment vertical="center"/>
    </xf>
    <xf numFmtId="0" fontId="10" fillId="0" borderId="0" xfId="2" applyFont="1" applyAlignment="1">
      <alignment vertical="center"/>
    </xf>
    <xf numFmtId="0" fontId="10" fillId="0" borderId="0" xfId="0" applyFont="1" applyAlignment="1">
      <alignment horizontal="right" vertical="center"/>
    </xf>
    <xf numFmtId="0" fontId="10" fillId="0" borderId="0" xfId="2" applyFont="1" applyAlignment="1">
      <alignment horizontal="left" vertical="center"/>
    </xf>
    <xf numFmtId="0" fontId="6" fillId="3" borderId="34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horizontal="right" vertical="center"/>
    </xf>
    <xf numFmtId="0" fontId="10" fillId="3" borderId="0" xfId="0" applyFont="1" applyFill="1" applyAlignment="1">
      <alignment horizontal="right" vertical="center"/>
    </xf>
    <xf numFmtId="169" fontId="10" fillId="3" borderId="0" xfId="0" applyNumberFormat="1" applyFont="1" applyFill="1" applyAlignment="1">
      <alignment horizontal="right" vertical="center" indent="1"/>
    </xf>
    <xf numFmtId="3" fontId="10" fillId="3" borderId="0" xfId="0" applyNumberFormat="1" applyFont="1" applyFill="1" applyAlignment="1">
      <alignment horizontal="right" vertical="center"/>
    </xf>
    <xf numFmtId="0" fontId="10" fillId="3" borderId="0" xfId="0" applyFont="1" applyFill="1" applyAlignment="1">
      <alignment vertical="center"/>
    </xf>
    <xf numFmtId="0" fontId="26" fillId="3" borderId="0" xfId="0" applyFont="1" applyFill="1" applyAlignment="1">
      <alignment vertical="center"/>
    </xf>
    <xf numFmtId="0" fontId="10" fillId="3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168" fontId="7" fillId="6" borderId="0" xfId="0" applyNumberFormat="1" applyFont="1" applyFill="1" applyAlignment="1">
      <alignment vertical="center"/>
    </xf>
    <xf numFmtId="0" fontId="11" fillId="0" borderId="0" xfId="0" applyFont="1" applyAlignment="1">
      <alignment horizontal="right" vertical="center"/>
    </xf>
    <xf numFmtId="169" fontId="10" fillId="0" borderId="0" xfId="0" applyNumberFormat="1" applyFont="1" applyAlignment="1">
      <alignment horizontal="right" vertical="center" indent="1"/>
    </xf>
    <xf numFmtId="3" fontId="10" fillId="0" borderId="0" xfId="0" applyNumberFormat="1" applyFont="1" applyAlignment="1">
      <alignment horizontal="left" vertical="center"/>
    </xf>
    <xf numFmtId="0" fontId="27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4" fontId="10" fillId="0" borderId="0" xfId="0" applyNumberFormat="1" applyFont="1" applyAlignment="1">
      <alignment vertical="center"/>
    </xf>
    <xf numFmtId="0" fontId="27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168" fontId="10" fillId="6" borderId="6" xfId="0" applyNumberFormat="1" applyFont="1" applyFill="1" applyBorder="1" applyAlignment="1">
      <alignment vertical="center"/>
    </xf>
    <xf numFmtId="2" fontId="12" fillId="0" borderId="0" xfId="0" applyNumberFormat="1" applyFont="1" applyAlignment="1">
      <alignment vertical="center"/>
    </xf>
    <xf numFmtId="0" fontId="10" fillId="0" borderId="34" xfId="0" applyFont="1" applyBorder="1" applyAlignment="1">
      <alignment horizontal="left" vertical="top" indent="1"/>
    </xf>
    <xf numFmtId="168" fontId="12" fillId="0" borderId="0" xfId="0" applyNumberFormat="1" applyFont="1" applyAlignment="1">
      <alignment vertical="center"/>
    </xf>
    <xf numFmtId="0" fontId="10" fillId="0" borderId="0" xfId="0" applyFont="1" applyAlignment="1">
      <alignment horizontal="right" vertical="center" wrapText="1"/>
    </xf>
    <xf numFmtId="0" fontId="14" fillId="3" borderId="15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1" fillId="3" borderId="2" xfId="0" applyFont="1" applyFill="1" applyBorder="1" applyAlignment="1">
      <alignment vertical="center"/>
    </xf>
    <xf numFmtId="0" fontId="10" fillId="0" borderId="0" xfId="0" applyFont="1"/>
    <xf numFmtId="167" fontId="10" fillId="0" borderId="0" xfId="0" applyNumberFormat="1" applyFont="1" applyAlignment="1">
      <alignment horizontal="center"/>
    </xf>
    <xf numFmtId="167" fontId="10" fillId="0" borderId="0" xfId="0" applyNumberFormat="1" applyFont="1"/>
    <xf numFmtId="2" fontId="10" fillId="0" borderId="0" xfId="0" applyNumberFormat="1" applyFont="1"/>
    <xf numFmtId="167" fontId="0" fillId="0" borderId="0" xfId="0" applyNumberFormat="1" applyAlignment="1">
      <alignment horizontal="center"/>
    </xf>
    <xf numFmtId="167" fontId="0" fillId="0" borderId="0" xfId="0" applyNumberFormat="1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35" fillId="0" borderId="0" xfId="0" applyFont="1"/>
    <xf numFmtId="0" fontId="35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168" fontId="26" fillId="3" borderId="19" xfId="4" applyNumberFormat="1" applyFont="1" applyFill="1" applyBorder="1" applyAlignment="1" applyProtection="1">
      <alignment vertical="center"/>
      <protection locked="0"/>
    </xf>
    <xf numFmtId="0" fontId="26" fillId="3" borderId="0" xfId="0" applyFont="1" applyFill="1" applyAlignment="1" applyProtection="1">
      <alignment vertical="center"/>
      <protection locked="0"/>
    </xf>
    <xf numFmtId="0" fontId="27" fillId="0" borderId="0" xfId="0" applyFont="1" applyAlignment="1" applyProtection="1">
      <alignment vertical="center"/>
      <protection locked="0"/>
    </xf>
    <xf numFmtId="0" fontId="19" fillId="0" borderId="0" xfId="0" applyFont="1" applyAlignment="1">
      <alignment horizontal="center" vertical="center" wrapText="1"/>
    </xf>
    <xf numFmtId="0" fontId="6" fillId="6" borderId="24" xfId="0" applyFont="1" applyFill="1" applyBorder="1" applyAlignment="1" applyProtection="1">
      <alignment horizontal="left" vertical="center"/>
      <protection locked="0"/>
    </xf>
    <xf numFmtId="0" fontId="6" fillId="6" borderId="30" xfId="0" applyFont="1" applyFill="1" applyBorder="1" applyAlignment="1" applyProtection="1">
      <alignment horizontal="left" vertical="center"/>
      <protection locked="0"/>
    </xf>
    <xf numFmtId="0" fontId="6" fillId="6" borderId="31" xfId="0" applyFont="1" applyFill="1" applyBorder="1" applyAlignment="1" applyProtection="1">
      <alignment horizontal="left" vertical="center"/>
      <protection locked="0"/>
    </xf>
    <xf numFmtId="0" fontId="6" fillId="6" borderId="49" xfId="0" applyFont="1" applyFill="1" applyBorder="1" applyAlignment="1" applyProtection="1">
      <alignment horizontal="left" vertical="center"/>
      <protection locked="0"/>
    </xf>
    <xf numFmtId="0" fontId="6" fillId="6" borderId="50" xfId="0" applyFont="1" applyFill="1" applyBorder="1" applyAlignment="1" applyProtection="1">
      <alignment horizontal="left" vertical="center"/>
      <protection locked="0"/>
    </xf>
    <xf numFmtId="0" fontId="6" fillId="6" borderId="51" xfId="0" applyFont="1" applyFill="1" applyBorder="1" applyAlignment="1" applyProtection="1">
      <alignment horizontal="left" vertical="center"/>
      <protection locked="0"/>
    </xf>
    <xf numFmtId="0" fontId="26" fillId="3" borderId="19" xfId="0" applyFont="1" applyFill="1" applyBorder="1" applyAlignment="1" applyProtection="1">
      <alignment horizontal="left" vertical="center"/>
      <protection locked="0"/>
    </xf>
    <xf numFmtId="168" fontId="14" fillId="3" borderId="8" xfId="0" applyNumberFormat="1" applyFont="1" applyFill="1" applyBorder="1" applyAlignment="1">
      <alignment horizontal="center" vertical="center"/>
    </xf>
    <xf numFmtId="168" fontId="14" fillId="3" borderId="1" xfId="0" applyNumberFormat="1" applyFont="1" applyFill="1" applyBorder="1" applyAlignment="1">
      <alignment horizontal="center" vertical="center"/>
    </xf>
    <xf numFmtId="0" fontId="15" fillId="0" borderId="34" xfId="0" applyFont="1" applyBorder="1" applyAlignment="1">
      <alignment horizontal="left" vertical="top" wrapText="1" indent="1"/>
    </xf>
    <xf numFmtId="0" fontId="15" fillId="0" borderId="0" xfId="0" applyFont="1" applyAlignment="1">
      <alignment horizontal="left" vertical="top" indent="1"/>
    </xf>
    <xf numFmtId="0" fontId="15" fillId="0" borderId="34" xfId="0" applyFont="1" applyBorder="1" applyAlignment="1">
      <alignment horizontal="left" vertical="top" indent="1"/>
    </xf>
    <xf numFmtId="3" fontId="26" fillId="3" borderId="0" xfId="0" applyNumberFormat="1" applyFont="1" applyFill="1" applyAlignment="1" applyProtection="1">
      <alignment horizontal="left" vertical="center"/>
      <protection locked="0"/>
    </xf>
    <xf numFmtId="3" fontId="27" fillId="0" borderId="0" xfId="0" applyNumberFormat="1" applyFont="1" applyAlignment="1" applyProtection="1">
      <alignment horizontal="left" vertical="center"/>
      <protection locked="0"/>
    </xf>
    <xf numFmtId="0" fontId="26" fillId="3" borderId="0" xfId="2" applyFont="1" applyFill="1" applyAlignment="1" applyProtection="1">
      <alignment horizontal="left" vertical="center"/>
      <protection locked="0"/>
    </xf>
    <xf numFmtId="0" fontId="10" fillId="0" borderId="6" xfId="0" applyFont="1" applyBorder="1" applyAlignment="1">
      <alignment horizontal="center" vertical="center" wrapText="1"/>
    </xf>
    <xf numFmtId="0" fontId="36" fillId="0" borderId="0" xfId="1" applyFont="1" applyFill="1" applyAlignment="1" applyProtection="1">
      <alignment horizontal="center" vertical="top" wrapText="1"/>
      <protection locked="0"/>
    </xf>
    <xf numFmtId="0" fontId="37" fillId="0" borderId="0" xfId="1" applyFont="1" applyFill="1" applyAlignment="1" applyProtection="1">
      <alignment horizontal="center" vertical="top" wrapText="1"/>
      <protection locked="0"/>
    </xf>
    <xf numFmtId="0" fontId="19" fillId="0" borderId="0" xfId="0" applyFont="1" applyAlignment="1">
      <alignment horizontal="left" vertical="top" wrapText="1"/>
    </xf>
    <xf numFmtId="0" fontId="19" fillId="0" borderId="35" xfId="0" applyFont="1" applyBorder="1" applyAlignment="1">
      <alignment horizontal="left" vertical="top" wrapText="1"/>
    </xf>
    <xf numFmtId="0" fontId="23" fillId="0" borderId="0" xfId="0" applyFont="1" applyAlignment="1" applyProtection="1">
      <alignment horizontal="left"/>
      <protection locked="0"/>
    </xf>
    <xf numFmtId="0" fontId="20" fillId="3" borderId="28" xfId="0" applyFont="1" applyFill="1" applyBorder="1" applyAlignment="1">
      <alignment horizontal="center" vertical="center"/>
    </xf>
    <xf numFmtId="0" fontId="20" fillId="3" borderId="39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20" fillId="3" borderId="33" xfId="0" applyFont="1" applyFill="1" applyBorder="1" applyAlignment="1">
      <alignment horizontal="center" vertical="center"/>
    </xf>
    <xf numFmtId="0" fontId="20" fillId="3" borderId="26" xfId="0" applyFont="1" applyFill="1" applyBorder="1" applyAlignment="1">
      <alignment horizontal="center" vertical="center"/>
    </xf>
    <xf numFmtId="0" fontId="20" fillId="3" borderId="29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20" xfId="0" applyFont="1" applyFill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167" fontId="10" fillId="4" borderId="9" xfId="0" applyNumberFormat="1" applyFont="1" applyFill="1" applyBorder="1" applyAlignment="1">
      <alignment horizontal="center" vertical="center" wrapText="1"/>
    </xf>
    <xf numFmtId="167" fontId="10" fillId="4" borderId="10" xfId="0" applyNumberFormat="1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34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3" borderId="34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35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 wrapText="1"/>
    </xf>
    <xf numFmtId="0" fontId="11" fillId="3" borderId="35" xfId="0" applyFont="1" applyFill="1" applyBorder="1" applyAlignment="1">
      <alignment horizontal="center" vertical="center" wrapText="1"/>
    </xf>
    <xf numFmtId="0" fontId="6" fillId="3" borderId="52" xfId="0" applyFont="1" applyFill="1" applyBorder="1" applyAlignment="1">
      <alignment horizontal="right" vertical="center" indent="2"/>
    </xf>
    <xf numFmtId="0" fontId="6" fillId="3" borderId="48" xfId="0" applyFont="1" applyFill="1" applyBorder="1" applyAlignment="1">
      <alignment horizontal="right" vertical="center" indent="2"/>
    </xf>
    <xf numFmtId="0" fontId="6" fillId="3" borderId="16" xfId="0" applyFont="1" applyFill="1" applyBorder="1" applyAlignment="1">
      <alignment horizontal="right" vertical="center" indent="2"/>
    </xf>
    <xf numFmtId="0" fontId="6" fillId="3" borderId="23" xfId="0" applyFont="1" applyFill="1" applyBorder="1" applyAlignment="1">
      <alignment horizontal="right" vertical="center" indent="2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5" fillId="3" borderId="38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/>
    </xf>
    <xf numFmtId="0" fontId="15" fillId="3" borderId="39" xfId="0" applyFont="1" applyFill="1" applyBorder="1" applyAlignment="1">
      <alignment horizontal="center" vertical="center"/>
    </xf>
    <xf numFmtId="0" fontId="27" fillId="0" borderId="0" xfId="0" applyFont="1" applyAlignment="1" applyProtection="1">
      <alignment horizontal="left" vertical="center"/>
      <protection locked="0"/>
    </xf>
    <xf numFmtId="168" fontId="6" fillId="3" borderId="8" xfId="4" applyNumberFormat="1" applyFont="1" applyFill="1" applyBorder="1" applyAlignment="1" applyProtection="1">
      <alignment horizontal="center" vertical="center"/>
    </xf>
    <xf numFmtId="168" fontId="6" fillId="3" borderId="1" xfId="4" applyNumberFormat="1" applyFont="1" applyFill="1" applyBorder="1" applyAlignment="1" applyProtection="1">
      <alignment horizontal="center" vertical="center"/>
    </xf>
    <xf numFmtId="0" fontId="6" fillId="6" borderId="24" xfId="0" applyFont="1" applyFill="1" applyBorder="1" applyAlignment="1">
      <alignment horizontal="left" vertical="center"/>
    </xf>
    <xf numFmtId="0" fontId="6" fillId="6" borderId="30" xfId="0" applyFont="1" applyFill="1" applyBorder="1" applyAlignment="1">
      <alignment horizontal="left" vertical="center"/>
    </xf>
    <xf numFmtId="0" fontId="6" fillId="6" borderId="31" xfId="0" applyFont="1" applyFill="1" applyBorder="1" applyAlignment="1">
      <alignment horizontal="left" vertical="center"/>
    </xf>
    <xf numFmtId="0" fontId="6" fillId="6" borderId="49" xfId="0" applyFont="1" applyFill="1" applyBorder="1" applyAlignment="1">
      <alignment horizontal="left" vertical="center"/>
    </xf>
    <xf numFmtId="0" fontId="6" fillId="6" borderId="50" xfId="0" applyFont="1" applyFill="1" applyBorder="1" applyAlignment="1">
      <alignment horizontal="left" vertical="center"/>
    </xf>
    <xf numFmtId="0" fontId="6" fillId="6" borderId="51" xfId="0" applyFont="1" applyFill="1" applyBorder="1" applyAlignment="1">
      <alignment horizontal="left" vertical="center"/>
    </xf>
    <xf numFmtId="0" fontId="36" fillId="0" borderId="0" xfId="1" applyFont="1" applyFill="1" applyAlignment="1" applyProtection="1">
      <alignment horizontal="center" wrapText="1"/>
      <protection locked="0"/>
    </xf>
    <xf numFmtId="0" fontId="27" fillId="0" borderId="0" xfId="0" applyFont="1" applyAlignment="1">
      <alignment horizontal="left" vertical="center"/>
    </xf>
    <xf numFmtId="0" fontId="34" fillId="0" borderId="0" xfId="0" applyFont="1" applyAlignment="1">
      <alignment horizontal="center" vertical="center" wrapText="1"/>
    </xf>
    <xf numFmtId="0" fontId="34" fillId="0" borderId="35" xfId="0" applyFont="1" applyBorder="1" applyAlignment="1">
      <alignment horizontal="center" vertical="center" wrapText="1"/>
    </xf>
    <xf numFmtId="0" fontId="26" fillId="3" borderId="0" xfId="2" applyFont="1" applyFill="1" applyAlignment="1">
      <alignment horizontal="left" vertical="center"/>
    </xf>
    <xf numFmtId="3" fontId="26" fillId="3" borderId="0" xfId="0" applyNumberFormat="1" applyFont="1" applyFill="1" applyAlignment="1">
      <alignment horizontal="left" vertical="center"/>
    </xf>
    <xf numFmtId="3" fontId="27" fillId="0" borderId="0" xfId="0" applyNumberFormat="1" applyFont="1" applyAlignment="1">
      <alignment horizontal="left" vertical="center"/>
    </xf>
    <xf numFmtId="0" fontId="26" fillId="3" borderId="19" xfId="0" applyFont="1" applyFill="1" applyBorder="1" applyAlignment="1">
      <alignment horizontal="left" vertical="center"/>
    </xf>
  </cellXfs>
  <cellStyles count="5">
    <cellStyle name="Link" xfId="1" builtinId="8"/>
    <cellStyle name="Standard" xfId="0" builtinId="0"/>
    <cellStyle name="Standard 2" xfId="2" xr:uid="{00000000-0005-0000-0000-000002000000}"/>
    <cellStyle name="Standard 2 2" xfId="3" xr:uid="{00000000-0005-0000-0000-000003000000}"/>
    <cellStyle name="Währung 2" xfId="4" xr:uid="{00000000-0005-0000-0000-000005000000}"/>
  </cellStyles>
  <dxfs count="59">
    <dxf>
      <font>
        <color auto="1"/>
      </font>
      <fill>
        <patternFill patternType="solid"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vertical/>
        <horizontal/>
      </border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59996337778862885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border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>
          <bgColor theme="5" tint="0.79998168889431442"/>
        </patternFill>
      </fill>
    </dxf>
    <dxf>
      <font>
        <color auto="1"/>
      </font>
      <fill>
        <patternFill patternType="solid"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vertical/>
        <horizontal/>
      </border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59996337778862885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border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>
          <bgColor theme="5" tint="0.79998168889431442"/>
        </patternFill>
      </fill>
    </dxf>
    <dxf>
      <alignment horizontal="center" textRotation="0" indent="0" justifyLastLine="0" shrinkToFit="0" readingOrder="0"/>
      <protection locked="1" hidden="0"/>
    </dxf>
    <dxf>
      <alignment horizontal="center" textRotation="0" indent="0" justifyLastLine="0" shrinkToFit="0" readingOrder="0"/>
      <protection locked="1" hidden="0"/>
    </dxf>
    <dxf>
      <alignment horizontal="center" textRotation="0" indent="0" justifyLastLine="0" shrinkToFit="0" readingOrder="0"/>
      <protection locked="1" hidden="0"/>
    </dxf>
    <dxf>
      <alignment horizontal="center" textRotation="0" indent="0" justifyLastLine="0" shrinkToFit="0" readingOrder="0"/>
      <protection locked="1" hidden="0"/>
    </dxf>
    <dxf>
      <protection locked="1" hidden="0"/>
    </dxf>
    <dxf>
      <protection locked="1" hidden="0"/>
    </dxf>
    <dxf>
      <protection locked="1" hidden="0"/>
    </dxf>
  </dxfs>
  <tableStyles count="0" defaultTableStyle="TableStyleMedium9" defaultPivotStyle="PivotStyleLight16"/>
  <colors>
    <mruColors>
      <color rgb="FFFFCF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907676</xdr:colOff>
      <xdr:row>14</xdr:row>
      <xdr:rowOff>201706</xdr:rowOff>
    </xdr:from>
    <xdr:to>
      <xdr:col>1</xdr:col>
      <xdr:colOff>268941</xdr:colOff>
      <xdr:row>18</xdr:row>
      <xdr:rowOff>56029</xdr:rowOff>
    </xdr:to>
    <xdr:sp macro="" textlink="">
      <xdr:nvSpPr>
        <xdr:cNvPr id="2" name="Pfeil: nach unten 1">
          <a:extLst>
            <a:ext uri="{FF2B5EF4-FFF2-40B4-BE49-F238E27FC236}">
              <a16:creationId xmlns:a16="http://schemas.microsoft.com/office/drawing/2014/main" id="{31B2A9CD-31C1-4E27-AA7A-4D17D0B06567}"/>
            </a:ext>
          </a:extLst>
        </xdr:cNvPr>
        <xdr:cNvSpPr/>
      </xdr:nvSpPr>
      <xdr:spPr bwMode="auto">
        <a:xfrm>
          <a:off x="907676" y="4640356"/>
          <a:ext cx="332815" cy="1302123"/>
        </a:xfrm>
        <a:prstGeom prst="downArrow">
          <a:avLst/>
        </a:prstGeom>
        <a:solidFill>
          <a:srgbClr val="FF0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de-DE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hettmann\AppData\Local\Microsoft\Windows\Temporary%20Internet%20Files\Content.Outlook\DC94PZXM\Reisekostenabrechnung-2016-Ausland_1608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isekostenabrechnung - 2015"/>
      <sheetName val="data_fill"/>
      <sheetName val="VMA14"/>
      <sheetName val="VMA15"/>
      <sheetName val="Reisekostenabrechnung - 2016"/>
      <sheetName val="Kürzung"/>
    </sheetNames>
    <sheetDataSet>
      <sheetData sheetId="0"/>
      <sheetData sheetId="1">
        <row r="38">
          <cell r="C38" t="str">
            <v>ja</v>
          </cell>
        </row>
        <row r="39">
          <cell r="C39" t="str">
            <v>nein</v>
          </cell>
        </row>
      </sheetData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FB280A7-5DC3-4CCB-AD09-C8EB858B281B}" name="VMA" displayName="VMA" ref="A2:E244" totalsRowShown="0" headerRowDxfId="58" dataDxfId="57" dataCellStyle="Standard 2 2">
  <autoFilter ref="A2:E244" xr:uid="{AFB280A7-5DC3-4CCB-AD09-C8EB858B281B}"/>
  <tableColumns count="5">
    <tableColumn id="1" xr3:uid="{FB37FFC8-88F1-4AC7-B760-A8DDE208FE75}" name="Land" dataDxfId="56" dataCellStyle="Standard 2 2"/>
    <tableColumn id="2" xr3:uid="{8AE4C045-8D73-42B7-A6FB-331592222566}" name="24 Stunden" dataDxfId="55" dataCellStyle="Standard 2 2"/>
    <tableColumn id="3" xr3:uid="{E48FC700-6244-4C41-B355-E34AB79440B2}" name="An- und Abreisetag" dataDxfId="54" dataCellStyle="Standard 2 2"/>
    <tableColumn id="4" xr3:uid="{B733AF45-FD35-492E-980E-3D8ADC65B6F6}" name="Übernachtung" dataDxfId="53" dataCellStyle="Standard 2 2"/>
    <tableColumn id="5" xr3:uid="{9FAAACF6-5551-4285-9C94-9F7F768F7139}" name="Vorauss. Nicht erfüllt" dataDxfId="52" dataCellStyle="Standard 2 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Larissa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4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uer-schutzbrief.de/reisekosten/uebernachtungskosten.html" TargetMode="External"/><Relationship Id="rId2" Type="http://schemas.openxmlformats.org/officeDocument/2006/relationships/hyperlink" Target="http://www.steuer-schutzbrief.de/reisekosten/verpflegungsmehraufwand.html" TargetMode="External"/><Relationship Id="rId1" Type="http://schemas.openxmlformats.org/officeDocument/2006/relationships/hyperlink" Target="http://www.steuer-schutzbrief.de/reisekosten/verpflegungsmehraufwand.html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57"/>
  <sheetViews>
    <sheetView showGridLines="0" tabSelected="1" zoomScale="85" zoomScaleNormal="85" zoomScaleSheetLayoutView="90" zoomScalePageLayoutView="70" workbookViewId="0">
      <selection activeCell="S3" sqref="S3:W3"/>
    </sheetView>
  </sheetViews>
  <sheetFormatPr baseColWidth="10" defaultRowHeight="12.75" x14ac:dyDescent="0.2"/>
  <cols>
    <col min="1" max="1" width="14.5703125" customWidth="1"/>
    <col min="2" max="2" width="17.42578125" customWidth="1"/>
    <col min="3" max="3" width="6.7109375" customWidth="1"/>
    <col min="4" max="4" width="21.140625" customWidth="1"/>
    <col min="5" max="5" width="11.85546875" customWidth="1"/>
    <col min="6" max="7" width="6.7109375" customWidth="1"/>
    <col min="8" max="8" width="11.7109375" customWidth="1"/>
    <col min="9" max="9" width="11.85546875" customWidth="1"/>
    <col min="10" max="11" width="10.7109375" customWidth="1"/>
    <col min="12" max="13" width="13.28515625" customWidth="1"/>
    <col min="14" max="14" width="6.7109375" style="201" customWidth="1"/>
    <col min="15" max="17" width="3.7109375" style="202" customWidth="1"/>
    <col min="18" max="18" width="6.7109375" style="202" customWidth="1"/>
    <col min="19" max="19" width="13.28515625" style="202" customWidth="1"/>
    <col min="20" max="20" width="10.7109375" customWidth="1"/>
    <col min="21" max="23" width="7.28515625" style="58" customWidth="1"/>
    <col min="24" max="24" width="10.7109375" customWidth="1"/>
    <col min="26" max="44" width="11.42578125" hidden="1" customWidth="1"/>
    <col min="45" max="45" width="13.42578125" hidden="1" customWidth="1"/>
    <col min="46" max="47" width="11.42578125" hidden="1" customWidth="1"/>
    <col min="48" max="48" width="21.85546875" hidden="1" customWidth="1"/>
    <col min="49" max="49" width="43.85546875" hidden="1" customWidth="1"/>
  </cols>
  <sheetData>
    <row r="1" spans="1:50" ht="22.5" customHeight="1" x14ac:dyDescent="0.25">
      <c r="A1" s="232" t="s">
        <v>238</v>
      </c>
      <c r="B1" s="232"/>
      <c r="C1" s="51" t="s">
        <v>345</v>
      </c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3"/>
      <c r="Z1" s="54" t="s">
        <v>303</v>
      </c>
      <c r="AG1">
        <f>IF(AND(AG3=1,E3&lt;&gt;"",S3&lt;&gt;""),1,IF(AND(AG3=2,E3&lt;&gt;"",S3&lt;&gt;"",S5&lt;&gt;""),1,0))</f>
        <v>0</v>
      </c>
    </row>
    <row r="2" spans="1:50" ht="5.0999999999999996" customHeight="1" x14ac:dyDescent="0.25">
      <c r="B2" s="55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/>
      <c r="O2"/>
      <c r="P2"/>
      <c r="Q2"/>
      <c r="R2"/>
      <c r="S2"/>
      <c r="X2" s="59"/>
    </row>
    <row r="3" spans="1:50" ht="18.95" customHeight="1" x14ac:dyDescent="0.2">
      <c r="A3" s="60" t="s">
        <v>239</v>
      </c>
      <c r="B3" s="61" t="s">
        <v>327</v>
      </c>
      <c r="C3" s="62"/>
      <c r="D3" s="63" t="s">
        <v>154</v>
      </c>
      <c r="E3" s="212"/>
      <c r="F3" s="213"/>
      <c r="G3" s="213"/>
      <c r="H3" s="213"/>
      <c r="I3" s="213"/>
      <c r="J3" s="214"/>
      <c r="K3" s="64"/>
      <c r="L3" s="64"/>
      <c r="M3" s="264" t="s">
        <v>300</v>
      </c>
      <c r="N3" s="264"/>
      <c r="O3" s="264"/>
      <c r="P3" s="264"/>
      <c r="Q3" s="264"/>
      <c r="R3" s="265"/>
      <c r="S3" s="212"/>
      <c r="T3" s="213"/>
      <c r="U3" s="213"/>
      <c r="V3" s="213"/>
      <c r="W3" s="214"/>
      <c r="X3" s="65"/>
      <c r="Z3" s="54" t="s">
        <v>301</v>
      </c>
      <c r="AG3">
        <f>IF(E5="",0,IF(E5="Unternehmer",1,2))</f>
        <v>0</v>
      </c>
      <c r="AI3" s="66" t="s">
        <v>272</v>
      </c>
      <c r="AO3" s="67" t="s">
        <v>104</v>
      </c>
      <c r="AP3" s="66"/>
    </row>
    <row r="4" spans="1:50" ht="5.0999999999999996" customHeight="1" x14ac:dyDescent="0.2">
      <c r="A4" s="68"/>
      <c r="B4" s="69"/>
      <c r="C4" s="70"/>
      <c r="D4" s="71"/>
      <c r="E4" s="71"/>
      <c r="F4" s="71"/>
      <c r="G4" s="71"/>
      <c r="H4" s="71"/>
      <c r="I4" s="71"/>
      <c r="J4" s="71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3"/>
    </row>
    <row r="5" spans="1:50" ht="18.95" customHeight="1" thickBot="1" x14ac:dyDescent="0.25">
      <c r="A5" s="74" t="s">
        <v>241</v>
      </c>
      <c r="B5" s="75" t="s">
        <v>240</v>
      </c>
      <c r="C5" s="76"/>
      <c r="D5" s="77" t="s">
        <v>339</v>
      </c>
      <c r="E5" s="215"/>
      <c r="F5" s="216"/>
      <c r="G5" s="216"/>
      <c r="H5" s="216"/>
      <c r="I5" s="216"/>
      <c r="J5" s="217"/>
      <c r="K5" s="78"/>
      <c r="L5" s="78"/>
      <c r="M5" s="262" t="s">
        <v>338</v>
      </c>
      <c r="N5" s="262"/>
      <c r="O5" s="262"/>
      <c r="P5" s="262"/>
      <c r="Q5" s="262"/>
      <c r="R5" s="263"/>
      <c r="S5" s="215"/>
      <c r="T5" s="216"/>
      <c r="U5" s="216"/>
      <c r="V5" s="216"/>
      <c r="W5" s="217"/>
      <c r="X5" s="79"/>
      <c r="Z5" s="54" t="s">
        <v>302</v>
      </c>
      <c r="AG5">
        <f>IF(AG3&lt;&gt;2,0,IF(S5="Meinen Arbeitgeber",1,IF(S5="Meine Einkommensteuererklärung",2,0)))</f>
        <v>0</v>
      </c>
      <c r="AI5" s="66" t="s">
        <v>273</v>
      </c>
      <c r="AO5" s="67" t="s">
        <v>77</v>
      </c>
      <c r="AV5" s="80"/>
    </row>
    <row r="6" spans="1:50" ht="5.0999999999999996" customHeight="1" thickBot="1" x14ac:dyDescent="0.25"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81"/>
      <c r="O6" s="82"/>
      <c r="P6" s="83"/>
      <c r="Q6" s="83"/>
      <c r="R6" s="83"/>
      <c r="S6" s="83"/>
    </row>
    <row r="7" spans="1:50" s="86" customFormat="1" ht="18" customHeight="1" x14ac:dyDescent="0.2">
      <c r="A7" s="84" t="s">
        <v>325</v>
      </c>
      <c r="B7" s="85" t="s">
        <v>326</v>
      </c>
      <c r="C7" s="239" t="s">
        <v>335</v>
      </c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1"/>
      <c r="O7" s="250" t="s">
        <v>263</v>
      </c>
      <c r="P7" s="251"/>
      <c r="Q7" s="251"/>
      <c r="R7" s="251"/>
      <c r="S7" s="254" t="s">
        <v>3</v>
      </c>
      <c r="T7" s="255"/>
      <c r="U7" s="256"/>
      <c r="V7" s="250" t="s">
        <v>266</v>
      </c>
      <c r="W7" s="251"/>
      <c r="X7" s="260"/>
    </row>
    <row r="8" spans="1:50" s="86" customFormat="1" ht="15.75" customHeight="1" thickBot="1" x14ac:dyDescent="0.25">
      <c r="A8" s="87"/>
      <c r="B8" s="87"/>
      <c r="C8" s="236" t="s">
        <v>307</v>
      </c>
      <c r="D8" s="237"/>
      <c r="E8" s="238"/>
      <c r="F8" s="269" t="s">
        <v>290</v>
      </c>
      <c r="G8" s="270"/>
      <c r="H8" s="271"/>
      <c r="I8" s="235" t="s">
        <v>290</v>
      </c>
      <c r="J8" s="235"/>
      <c r="K8" s="235"/>
      <c r="L8" s="233" t="s">
        <v>291</v>
      </c>
      <c r="M8" s="234"/>
      <c r="N8" s="88"/>
      <c r="O8" s="252"/>
      <c r="P8" s="253"/>
      <c r="Q8" s="253"/>
      <c r="R8" s="253"/>
      <c r="S8" s="257"/>
      <c r="T8" s="258"/>
      <c r="U8" s="259"/>
      <c r="V8" s="252"/>
      <c r="W8" s="253"/>
      <c r="X8" s="261"/>
    </row>
    <row r="9" spans="1:50" s="96" customFormat="1" ht="78.75" customHeight="1" x14ac:dyDescent="0.2">
      <c r="A9" s="230" t="s">
        <v>328</v>
      </c>
      <c r="B9" s="231"/>
      <c r="C9" s="89" t="s">
        <v>360</v>
      </c>
      <c r="D9" s="90" t="s">
        <v>235</v>
      </c>
      <c r="E9" s="90" t="s">
        <v>244</v>
      </c>
      <c r="F9" s="268" t="s">
        <v>356</v>
      </c>
      <c r="G9" s="246"/>
      <c r="H9" s="90" t="s">
        <v>267</v>
      </c>
      <c r="I9" s="90" t="s">
        <v>286</v>
      </c>
      <c r="J9" s="90" t="s">
        <v>243</v>
      </c>
      <c r="K9" s="90" t="s">
        <v>365</v>
      </c>
      <c r="L9" s="90" t="s">
        <v>269</v>
      </c>
      <c r="M9" s="90" t="s">
        <v>322</v>
      </c>
      <c r="N9" s="91" t="s">
        <v>336</v>
      </c>
      <c r="O9" s="248" t="s">
        <v>299</v>
      </c>
      <c r="P9" s="249"/>
      <c r="Q9" s="249"/>
      <c r="R9" s="92" t="s">
        <v>228</v>
      </c>
      <c r="S9" s="89" t="s">
        <v>298</v>
      </c>
      <c r="T9" s="93" t="s">
        <v>262</v>
      </c>
      <c r="U9" s="94" t="s">
        <v>261</v>
      </c>
      <c r="V9" s="246" t="s">
        <v>337</v>
      </c>
      <c r="W9" s="247"/>
      <c r="X9" s="95" t="s">
        <v>317</v>
      </c>
      <c r="Z9" s="227" t="s">
        <v>306</v>
      </c>
      <c r="AA9" s="227"/>
      <c r="AB9" s="245" t="s">
        <v>229</v>
      </c>
      <c r="AC9" s="245"/>
      <c r="AD9" s="245"/>
      <c r="AE9" s="245"/>
      <c r="AF9" s="245" t="s">
        <v>285</v>
      </c>
      <c r="AG9" s="245"/>
      <c r="AH9" s="242" t="s">
        <v>258</v>
      </c>
      <c r="AI9" s="243"/>
      <c r="AJ9" s="244"/>
      <c r="AK9" s="245" t="s">
        <v>259</v>
      </c>
      <c r="AL9" s="245"/>
      <c r="AM9" s="245"/>
      <c r="AN9" s="245"/>
      <c r="AO9" s="227" t="s">
        <v>287</v>
      </c>
      <c r="AP9" s="227"/>
      <c r="AQ9" s="227" t="s">
        <v>292</v>
      </c>
      <c r="AR9" s="227"/>
      <c r="AS9" s="227"/>
      <c r="AT9" s="227"/>
      <c r="AU9" s="227"/>
      <c r="AV9" s="266" t="s">
        <v>354</v>
      </c>
      <c r="AW9" s="267"/>
    </row>
    <row r="10" spans="1:50" s="86" customFormat="1" ht="49.5" customHeight="1" thickBot="1" x14ac:dyDescent="0.25">
      <c r="A10" s="228" t="s">
        <v>371</v>
      </c>
      <c r="B10" s="229"/>
      <c r="C10" s="97" t="s">
        <v>2</v>
      </c>
      <c r="D10" s="98" t="s">
        <v>153</v>
      </c>
      <c r="E10" s="99" t="s">
        <v>245</v>
      </c>
      <c r="F10" s="99" t="s">
        <v>357</v>
      </c>
      <c r="G10" s="99" t="s">
        <v>358</v>
      </c>
      <c r="H10" s="99" t="s">
        <v>268</v>
      </c>
      <c r="I10" s="99" t="s">
        <v>242</v>
      </c>
      <c r="J10" s="99" t="s">
        <v>2</v>
      </c>
      <c r="K10" s="99" t="s">
        <v>2</v>
      </c>
      <c r="L10" s="99" t="s">
        <v>270</v>
      </c>
      <c r="M10" s="98" t="s">
        <v>270</v>
      </c>
      <c r="N10" s="100" t="s">
        <v>1</v>
      </c>
      <c r="O10" s="101" t="s">
        <v>157</v>
      </c>
      <c r="P10" s="102" t="s">
        <v>159</v>
      </c>
      <c r="Q10" s="102" t="s">
        <v>158</v>
      </c>
      <c r="R10" s="103" t="s">
        <v>1</v>
      </c>
      <c r="S10" s="104" t="s">
        <v>270</v>
      </c>
      <c r="T10" s="105" t="s">
        <v>1</v>
      </c>
      <c r="U10" s="106" t="s">
        <v>1</v>
      </c>
      <c r="V10" s="107" t="s">
        <v>265</v>
      </c>
      <c r="W10" s="98" t="s">
        <v>264</v>
      </c>
      <c r="X10" s="106" t="s">
        <v>1</v>
      </c>
      <c r="Z10" s="108" t="s">
        <v>304</v>
      </c>
      <c r="AA10" s="108" t="s">
        <v>305</v>
      </c>
      <c r="AB10" s="108" t="s">
        <v>280</v>
      </c>
      <c r="AC10" s="108" t="s">
        <v>359</v>
      </c>
      <c r="AD10" s="109" t="s">
        <v>364</v>
      </c>
      <c r="AE10" s="108" t="s">
        <v>274</v>
      </c>
      <c r="AF10" s="108" t="s">
        <v>281</v>
      </c>
      <c r="AG10" s="108" t="s">
        <v>274</v>
      </c>
      <c r="AH10" s="108" t="s">
        <v>271</v>
      </c>
      <c r="AI10" s="108" t="s">
        <v>274</v>
      </c>
      <c r="AJ10" s="109" t="s">
        <v>275</v>
      </c>
      <c r="AK10" s="108" t="s">
        <v>276</v>
      </c>
      <c r="AL10" s="108" t="s">
        <v>274</v>
      </c>
      <c r="AM10" s="109" t="s">
        <v>278</v>
      </c>
      <c r="AN10" s="109" t="s">
        <v>279</v>
      </c>
      <c r="AO10" s="108" t="s">
        <v>288</v>
      </c>
      <c r="AP10" s="108" t="s">
        <v>289</v>
      </c>
      <c r="AQ10" s="108" t="s">
        <v>293</v>
      </c>
      <c r="AR10" s="108" t="s">
        <v>294</v>
      </c>
      <c r="AS10" s="108" t="s">
        <v>296</v>
      </c>
      <c r="AT10" s="108" t="s">
        <v>295</v>
      </c>
      <c r="AU10" s="108" t="s">
        <v>297</v>
      </c>
      <c r="AV10" s="109" t="s">
        <v>353</v>
      </c>
      <c r="AW10" s="109" t="s">
        <v>355</v>
      </c>
    </row>
    <row r="11" spans="1:50" s="122" customFormat="1" ht="28.5" customHeight="1" thickBot="1" x14ac:dyDescent="0.25">
      <c r="A11" s="211" t="str">
        <f>IF(AJ11=1,$AW$12,IF(AM11=1,$AW$13,IF(AN11=1,$AW$14,IF(AD11=1,$AW$11,""))))</f>
        <v/>
      </c>
      <c r="B11" s="211"/>
      <c r="C11" s="47"/>
      <c r="D11" s="5"/>
      <c r="E11" s="5"/>
      <c r="F11" s="7"/>
      <c r="G11" s="7"/>
      <c r="H11" s="5"/>
      <c r="I11" s="5"/>
      <c r="J11" s="48"/>
      <c r="K11" s="48"/>
      <c r="L11" s="6"/>
      <c r="M11" s="6"/>
      <c r="N11" s="115" t="str">
        <f>IF(OR($AG$1=0,Z11=0,AA11=0),"",VLOOKUP(AO11,VMA[#All],Reisekostenabrechnung!AP11,FALSE))</f>
        <v/>
      </c>
      <c r="O11" s="7"/>
      <c r="P11" s="7"/>
      <c r="Q11" s="7"/>
      <c r="R11" s="116" t="str">
        <f t="shared" ref="R11:R25" si="0">IF($AG$1=0,"",IF(AND($AG$3=2,N11&lt;&gt;""),N11-(AQ11*AU11),""))</f>
        <v/>
      </c>
      <c r="S11" s="6"/>
      <c r="T11" s="12"/>
      <c r="U11" s="118" t="str">
        <f>IF(OR($AG$1=0,$AG$3&lt;&gt;2,$AG$5&lt;&gt;1),"",IF(S11&lt;&gt;"",VLOOKUP(S11,Pauschalen!$A$1:$D$244,4,FALSE),""))</f>
        <v/>
      </c>
      <c r="V11" s="38"/>
      <c r="W11" s="10"/>
      <c r="X11" s="41"/>
      <c r="Z11" s="96">
        <f t="shared" ref="Z11:Z21" si="1">IF(OR(C11="",D11="",E11=""),0,1)</f>
        <v>0</v>
      </c>
      <c r="AA11" s="96">
        <f t="shared" ref="AA11:AA21" si="2">IF(OR(AND(AK11=1,J11&lt;&gt;"",K11&lt;&gt;"",C11&lt;&gt;J11,C11&lt;&gt;K11),AND(E11="Mehrtägigen",L11&lt;&gt;"")),1,IF(AND(E11="eintägigen",M11&lt;&gt;""),1,0))</f>
        <v>0</v>
      </c>
      <c r="AB11" s="96">
        <f t="shared" ref="AB11:AB21" si="3">IF(E11="eintägigen",1,0)</f>
        <v>0</v>
      </c>
      <c r="AC11" s="123">
        <f>G11-F11</f>
        <v>0</v>
      </c>
      <c r="AD11" s="96">
        <f>IF(IFERROR(AC11,1)=1,1,IF(DAY(G11)&lt;&gt;DAY(F11),1,0))</f>
        <v>0</v>
      </c>
      <c r="AE11" s="96">
        <f>IF(AB11=1,M11,0)</f>
        <v>0</v>
      </c>
      <c r="AF11" s="96">
        <f t="shared" ref="AF11:AF21" si="4">IF(AND(E11="mehrtägigen",AH11=0,AK11=0),1,0)</f>
        <v>0</v>
      </c>
      <c r="AG11" s="96">
        <f t="shared" ref="AG11:AG21" si="5">IF(AF11=1,IF(H11&lt;&gt;"endete",L11,IF(M11="",L11,M11)),0)</f>
        <v>0</v>
      </c>
      <c r="AH11" s="96">
        <f t="shared" ref="AH11:AH21" si="6">IF(I11="Flugzeug",1,0)</f>
        <v>0</v>
      </c>
      <c r="AI11" s="96">
        <f t="shared" ref="AI11:AI21" si="7">IF(AH11=1,IF(AND(H11="endete",M11&lt;&gt;""),M11,IF(J11=C11,L11,IF(AND(J11&lt;&gt;C11,K11=C11),L11,IF(AND(C11&lt;&gt;J11,C11&lt;&gt;K11,J11&lt;&gt;"",K11&lt;&gt;""),$AO$3,0)))),0)</f>
        <v>0</v>
      </c>
      <c r="AJ11" s="96">
        <f t="shared" ref="AJ11:AJ21" si="8">IF(AND(AH11=1,C11&lt;&gt;J11,C11=K11,L11=""),1,0)</f>
        <v>0</v>
      </c>
      <c r="AK11" s="96">
        <f t="shared" ref="AK11:AK21" si="9">IF(I11="Schiff",1,0)</f>
        <v>0</v>
      </c>
      <c r="AL11" s="96">
        <f t="shared" ref="AL11:AL21" si="10">IF(AK11=1,IF(C11=J11,L11,IF(C11=K11,L11,IF(AND(C11&lt;&gt;J11,C11&lt;&gt;K11,J11&lt;&gt;"",K11&lt;&gt;""),$AO$5,0))),0)</f>
        <v>0</v>
      </c>
      <c r="AM11" s="96">
        <f t="shared" ref="AM11:AM21" si="11">IF(AND(AK11=1,C11=J11,L11=""),1,0)</f>
        <v>0</v>
      </c>
      <c r="AN11" s="96">
        <f t="shared" ref="AN11:AN21" si="12">IF(AND(AK11=1,C11=K11,L11=""),1,0)</f>
        <v>0</v>
      </c>
      <c r="AO11" s="96">
        <f>IF(AB11=1,AE11,IF(AF11=1,AG11,IF(AH11=1,AI11,IF(AK11=1,AL11,0))))</f>
        <v>0</v>
      </c>
      <c r="AP11" s="96">
        <f>IF(AND(E11="mehrtägigen",H11=""),2,IF(OR(AND(E11="mehrtägigen",H11&lt;&gt;""),AND(E11="eintägigen",AC11&gt;TIME(8,,),AD11=0)),3,5))</f>
        <v>5</v>
      </c>
      <c r="AQ11" s="96" t="e">
        <f>VLOOKUP(AO11,Pauschalen!$A$1:$D$244,2,FALSE)</f>
        <v>#N/A</v>
      </c>
      <c r="AR11" s="96">
        <f t="shared" ref="AR11:AR21" si="13">IF(O11&lt;&gt;"",0.2,0)</f>
        <v>0</v>
      </c>
      <c r="AS11" s="96">
        <f t="shared" ref="AS11:AS21" si="14">IF(P11&lt;&gt;"",0.4,0)</f>
        <v>0</v>
      </c>
      <c r="AT11" s="96">
        <f t="shared" ref="AT11:AT21" si="15">IF(Q11&lt;&gt;"",0.4,0)</f>
        <v>0</v>
      </c>
      <c r="AU11" s="96">
        <f>SUM(AR11:AT11)</f>
        <v>0</v>
      </c>
      <c r="AV11" s="124" t="s">
        <v>361</v>
      </c>
      <c r="AW11" s="125" t="s">
        <v>363</v>
      </c>
      <c r="AX11"/>
    </row>
    <row r="12" spans="1:50" s="122" customFormat="1" ht="28.5" customHeight="1" thickBot="1" x14ac:dyDescent="0.25">
      <c r="A12" s="211" t="str">
        <f t="shared" ref="A12:A25" si="16">IF(AJ12=1,$AW$12,IF(AM12=1,$AW$13,IF(AN12=1,$AW$14,IF(AD12=1,$AW$11,""))))</f>
        <v/>
      </c>
      <c r="B12" s="211"/>
      <c r="C12" s="47"/>
      <c r="D12" s="5"/>
      <c r="E12" s="5"/>
      <c r="F12" s="7"/>
      <c r="G12" s="7"/>
      <c r="H12" s="5"/>
      <c r="I12" s="5"/>
      <c r="J12" s="48"/>
      <c r="K12" s="48"/>
      <c r="L12" s="6"/>
      <c r="M12" s="6"/>
      <c r="N12" s="115" t="str">
        <f>IF(OR($AG$1=0,Z12=0,AA12=0),"",VLOOKUP(AO12,VMA[#All],Reisekostenabrechnung!AP12,FALSE))</f>
        <v/>
      </c>
      <c r="O12" s="7"/>
      <c r="P12" s="7"/>
      <c r="Q12" s="7"/>
      <c r="R12" s="116" t="str">
        <f t="shared" si="0"/>
        <v/>
      </c>
      <c r="S12" s="6"/>
      <c r="T12" s="12"/>
      <c r="U12" s="118" t="str">
        <f>IF(OR($AG$1=0,$AG$3&lt;&gt;2,$AG$5&lt;&gt;1),"",IF(S12&lt;&gt;"",VLOOKUP(S12,Pauschalen!$A$1:$D$244,4,FALSE),""))</f>
        <v/>
      </c>
      <c r="V12" s="38"/>
      <c r="W12" s="42"/>
      <c r="X12" s="41"/>
      <c r="Z12" s="96">
        <f t="shared" si="1"/>
        <v>0</v>
      </c>
      <c r="AA12" s="96">
        <f t="shared" si="2"/>
        <v>0</v>
      </c>
      <c r="AB12" s="96">
        <f t="shared" si="3"/>
        <v>0</v>
      </c>
      <c r="AC12" s="123">
        <f t="shared" ref="AC12:AC25" si="17">G12-F12</f>
        <v>0</v>
      </c>
      <c r="AD12" s="96">
        <f t="shared" ref="AD12:AD25" si="18">IF(IFERROR(AC12,1)=1,1,IF(DAY(G12)&lt;&gt;DAY(F12),1,0))</f>
        <v>0</v>
      </c>
      <c r="AE12" s="96">
        <f t="shared" ref="AE12:AE21" si="19">IF(AB12=1,M12,0)</f>
        <v>0</v>
      </c>
      <c r="AF12" s="96">
        <f t="shared" si="4"/>
        <v>0</v>
      </c>
      <c r="AG12" s="96">
        <f t="shared" si="5"/>
        <v>0</v>
      </c>
      <c r="AH12" s="96">
        <f t="shared" si="6"/>
        <v>0</v>
      </c>
      <c r="AI12" s="96">
        <f t="shared" si="7"/>
        <v>0</v>
      </c>
      <c r="AJ12" s="96">
        <f t="shared" si="8"/>
        <v>0</v>
      </c>
      <c r="AK12" s="96">
        <f t="shared" si="9"/>
        <v>0</v>
      </c>
      <c r="AL12" s="96">
        <f t="shared" si="10"/>
        <v>0</v>
      </c>
      <c r="AM12" s="96">
        <f t="shared" si="11"/>
        <v>0</v>
      </c>
      <c r="AN12" s="96">
        <f t="shared" si="12"/>
        <v>0</v>
      </c>
      <c r="AO12" s="96">
        <f t="shared" ref="AO12:AO13" si="20">IF(AB12=1,AE12,IF(AF12=1,AG12,IF(AH12=1,AI12,IF(AK12=1,AL12,0))))</f>
        <v>0</v>
      </c>
      <c r="AP12" s="96">
        <f t="shared" ref="AP12:AP25" si="21">IF(AND(E12="mehrtägigen",H12=""),2,IF(OR(AND(E12="mehrtägigen",H12&lt;&gt;""),AND(E12="eintägigen",AC12&gt;TIME(8,,),AD12=0)),3,5))</f>
        <v>5</v>
      </c>
      <c r="AQ12" s="96" t="e">
        <f>VLOOKUP(AO12,Pauschalen!$A$1:$D$244,2,FALSE)</f>
        <v>#N/A</v>
      </c>
      <c r="AR12" s="96">
        <f t="shared" si="13"/>
        <v>0</v>
      </c>
      <c r="AS12" s="96">
        <f t="shared" si="14"/>
        <v>0</v>
      </c>
      <c r="AT12" s="96">
        <f t="shared" si="15"/>
        <v>0</v>
      </c>
      <c r="AU12" s="96">
        <f t="shared" ref="AU12:AU14" si="22">SUM(AR12:AT12)</f>
        <v>0</v>
      </c>
      <c r="AV12" s="127" t="s">
        <v>258</v>
      </c>
      <c r="AW12" s="128" t="s">
        <v>310</v>
      </c>
      <c r="AX12"/>
    </row>
    <row r="13" spans="1:50" s="122" customFormat="1" ht="28.5" customHeight="1" thickBot="1" x14ac:dyDescent="0.25">
      <c r="A13" s="211" t="str">
        <f t="shared" si="16"/>
        <v/>
      </c>
      <c r="B13" s="211"/>
      <c r="C13" s="47"/>
      <c r="D13" s="5"/>
      <c r="E13" s="5"/>
      <c r="F13" s="7"/>
      <c r="G13" s="7"/>
      <c r="H13" s="5"/>
      <c r="I13" s="5"/>
      <c r="J13" s="48"/>
      <c r="K13" s="49"/>
      <c r="L13" s="6"/>
      <c r="M13" s="8"/>
      <c r="N13" s="115" t="str">
        <f>IF(OR($AG$1=0,Z13=0,AA13=0),"",VLOOKUP(AO13,VMA[#All],Reisekostenabrechnung!AP13,FALSE))</f>
        <v/>
      </c>
      <c r="O13" s="9"/>
      <c r="P13" s="9"/>
      <c r="Q13" s="9"/>
      <c r="R13" s="116" t="str">
        <f t="shared" si="0"/>
        <v/>
      </c>
      <c r="S13" s="6"/>
      <c r="T13" s="13"/>
      <c r="U13" s="118" t="str">
        <f>IF(OR($AG$1=0,$AG$3&lt;&gt;2,$AG$5&lt;&gt;1),"",IF(S13&lt;&gt;"",VLOOKUP(S13,Pauschalen!$A$1:$D$244,4,FALSE),""))</f>
        <v/>
      </c>
      <c r="V13" s="39"/>
      <c r="W13" s="43"/>
      <c r="X13" s="44"/>
      <c r="Z13" s="96">
        <f t="shared" si="1"/>
        <v>0</v>
      </c>
      <c r="AA13" s="96">
        <f t="shared" si="2"/>
        <v>0</v>
      </c>
      <c r="AB13" s="96">
        <f t="shared" si="3"/>
        <v>0</v>
      </c>
      <c r="AC13" s="123">
        <f t="shared" si="17"/>
        <v>0</v>
      </c>
      <c r="AD13" s="96">
        <f t="shared" si="18"/>
        <v>0</v>
      </c>
      <c r="AE13" s="96">
        <f t="shared" si="19"/>
        <v>0</v>
      </c>
      <c r="AF13" s="96">
        <f t="shared" si="4"/>
        <v>0</v>
      </c>
      <c r="AG13" s="96">
        <f t="shared" si="5"/>
        <v>0</v>
      </c>
      <c r="AH13" s="96">
        <f t="shared" si="6"/>
        <v>0</v>
      </c>
      <c r="AI13" s="96">
        <f t="shared" si="7"/>
        <v>0</v>
      </c>
      <c r="AJ13" s="96">
        <f t="shared" si="8"/>
        <v>0</v>
      </c>
      <c r="AK13" s="96">
        <f t="shared" si="9"/>
        <v>0</v>
      </c>
      <c r="AL13" s="96">
        <f t="shared" si="10"/>
        <v>0</v>
      </c>
      <c r="AM13" s="96">
        <f t="shared" si="11"/>
        <v>0</v>
      </c>
      <c r="AN13" s="96">
        <f t="shared" si="12"/>
        <v>0</v>
      </c>
      <c r="AO13" s="96">
        <f t="shared" si="20"/>
        <v>0</v>
      </c>
      <c r="AP13" s="96">
        <f t="shared" si="21"/>
        <v>5</v>
      </c>
      <c r="AQ13" s="96" t="e">
        <f>VLOOKUP(AO13,Pauschalen!$A$1:$D$244,2,FALSE)</f>
        <v>#N/A</v>
      </c>
      <c r="AR13" s="96">
        <f t="shared" si="13"/>
        <v>0</v>
      </c>
      <c r="AS13" s="96">
        <f t="shared" si="14"/>
        <v>0</v>
      </c>
      <c r="AT13" s="96">
        <f t="shared" si="15"/>
        <v>0</v>
      </c>
      <c r="AU13" s="96">
        <f t="shared" si="22"/>
        <v>0</v>
      </c>
      <c r="AV13" s="127" t="s">
        <v>351</v>
      </c>
      <c r="AW13" s="128" t="s">
        <v>308</v>
      </c>
      <c r="AX13" s="86"/>
    </row>
    <row r="14" spans="1:50" s="122" customFormat="1" ht="28.5" customHeight="1" thickBot="1" x14ac:dyDescent="0.25">
      <c r="A14" s="211" t="str">
        <f t="shared" si="16"/>
        <v/>
      </c>
      <c r="B14" s="211"/>
      <c r="C14" s="47"/>
      <c r="D14" s="5"/>
      <c r="E14" s="5"/>
      <c r="F14" s="7"/>
      <c r="G14" s="7"/>
      <c r="H14" s="5"/>
      <c r="I14" s="5"/>
      <c r="J14" s="48"/>
      <c r="K14" s="48"/>
      <c r="L14" s="6"/>
      <c r="M14" s="6"/>
      <c r="N14" s="115" t="str">
        <f>IF(OR($AG$1=0,Z14=0,AA14=0),"",VLOOKUP(AO14,VMA[#All],Reisekostenabrechnung!AP14,FALSE))</f>
        <v/>
      </c>
      <c r="O14" s="9"/>
      <c r="P14" s="9"/>
      <c r="Q14" s="7"/>
      <c r="R14" s="116" t="str">
        <f t="shared" si="0"/>
        <v/>
      </c>
      <c r="S14" s="6"/>
      <c r="T14" s="12"/>
      <c r="U14" s="118" t="str">
        <f>IF(OR($AG$1=0,$AG$3&lt;&gt;2,$AG$5&lt;&gt;1),"",IF(S14&lt;&gt;"",VLOOKUP(S14,Pauschalen!$A$1:$D$244,4,FALSE),""))</f>
        <v/>
      </c>
      <c r="V14" s="38"/>
      <c r="W14" s="10"/>
      <c r="X14" s="41"/>
      <c r="Z14" s="96">
        <f t="shared" si="1"/>
        <v>0</v>
      </c>
      <c r="AA14" s="96">
        <f t="shared" si="2"/>
        <v>0</v>
      </c>
      <c r="AB14" s="96">
        <f t="shared" si="3"/>
        <v>0</v>
      </c>
      <c r="AC14" s="123">
        <f t="shared" si="17"/>
        <v>0</v>
      </c>
      <c r="AD14" s="96">
        <f t="shared" si="18"/>
        <v>0</v>
      </c>
      <c r="AE14" s="96">
        <f t="shared" si="19"/>
        <v>0</v>
      </c>
      <c r="AF14" s="96">
        <f t="shared" si="4"/>
        <v>0</v>
      </c>
      <c r="AG14" s="96">
        <f t="shared" si="5"/>
        <v>0</v>
      </c>
      <c r="AH14" s="96">
        <f t="shared" si="6"/>
        <v>0</v>
      </c>
      <c r="AI14" s="96">
        <f t="shared" si="7"/>
        <v>0</v>
      </c>
      <c r="AJ14" s="96">
        <f t="shared" si="8"/>
        <v>0</v>
      </c>
      <c r="AK14" s="96">
        <f t="shared" si="9"/>
        <v>0</v>
      </c>
      <c r="AL14" s="96">
        <f t="shared" si="10"/>
        <v>0</v>
      </c>
      <c r="AM14" s="96">
        <f t="shared" si="11"/>
        <v>0</v>
      </c>
      <c r="AN14" s="96">
        <f t="shared" si="12"/>
        <v>0</v>
      </c>
      <c r="AO14" s="96">
        <f>IF(AB14=1,AE14,IF(AF14=1,AG14,IF(AH14=1,AI14,IF(AK14=1,AL14,0))))</f>
        <v>0</v>
      </c>
      <c r="AP14" s="96">
        <f t="shared" si="21"/>
        <v>5</v>
      </c>
      <c r="AQ14" s="96" t="e">
        <f>VLOOKUP(AO14,Pauschalen!$A$1:$D$244,2,FALSE)</f>
        <v>#N/A</v>
      </c>
      <c r="AR14" s="96">
        <f t="shared" si="13"/>
        <v>0</v>
      </c>
      <c r="AS14" s="96">
        <f t="shared" si="14"/>
        <v>0</v>
      </c>
      <c r="AT14" s="96">
        <f t="shared" si="15"/>
        <v>0</v>
      </c>
      <c r="AU14" s="96">
        <f t="shared" si="22"/>
        <v>0</v>
      </c>
      <c r="AV14" s="127" t="s">
        <v>352</v>
      </c>
      <c r="AW14" s="128" t="s">
        <v>309</v>
      </c>
    </row>
    <row r="15" spans="1:50" s="122" customFormat="1" ht="28.5" customHeight="1" thickBot="1" x14ac:dyDescent="0.25">
      <c r="A15" s="211" t="str">
        <f t="shared" si="16"/>
        <v/>
      </c>
      <c r="B15" s="211"/>
      <c r="C15" s="47"/>
      <c r="D15" s="5"/>
      <c r="E15" s="5"/>
      <c r="F15" s="7"/>
      <c r="G15" s="7"/>
      <c r="H15" s="5"/>
      <c r="I15" s="5"/>
      <c r="J15" s="48"/>
      <c r="K15" s="49"/>
      <c r="L15" s="6"/>
      <c r="M15" s="8"/>
      <c r="N15" s="115" t="str">
        <f>IF(OR($AG$1=0,Z15=0,AA15=0),"",VLOOKUP(AO15,VMA[#All],Reisekostenabrechnung!AP15,FALSE))</f>
        <v/>
      </c>
      <c r="O15" s="9"/>
      <c r="P15" s="9"/>
      <c r="Q15" s="9"/>
      <c r="R15" s="116" t="str">
        <f t="shared" si="0"/>
        <v/>
      </c>
      <c r="S15" s="6"/>
      <c r="T15" s="13"/>
      <c r="U15" s="118" t="str">
        <f>IF(OR($AG$1=0,$AG$3&lt;&gt;2,$AG$5&lt;&gt;1),"",IF(S15&lt;&gt;"",VLOOKUP(S15,Pauschalen!$A$1:$D$244,4,FALSE),""))</f>
        <v/>
      </c>
      <c r="V15" s="39"/>
      <c r="W15" s="43"/>
      <c r="X15" s="44"/>
      <c r="Z15" s="96">
        <f t="shared" si="1"/>
        <v>0</v>
      </c>
      <c r="AA15" s="96">
        <f t="shared" si="2"/>
        <v>0</v>
      </c>
      <c r="AB15" s="96">
        <f t="shared" si="3"/>
        <v>0</v>
      </c>
      <c r="AC15" s="123">
        <f t="shared" si="17"/>
        <v>0</v>
      </c>
      <c r="AD15" s="96">
        <f t="shared" si="18"/>
        <v>0</v>
      </c>
      <c r="AE15" s="96">
        <f t="shared" si="19"/>
        <v>0</v>
      </c>
      <c r="AF15" s="96">
        <f t="shared" si="4"/>
        <v>0</v>
      </c>
      <c r="AG15" s="96">
        <f t="shared" si="5"/>
        <v>0</v>
      </c>
      <c r="AH15" s="96">
        <f t="shared" si="6"/>
        <v>0</v>
      </c>
      <c r="AI15" s="96">
        <f t="shared" si="7"/>
        <v>0</v>
      </c>
      <c r="AJ15" s="96">
        <f t="shared" si="8"/>
        <v>0</v>
      </c>
      <c r="AK15" s="96">
        <f t="shared" si="9"/>
        <v>0</v>
      </c>
      <c r="AL15" s="96">
        <f t="shared" si="10"/>
        <v>0</v>
      </c>
      <c r="AM15" s="96">
        <f t="shared" si="11"/>
        <v>0</v>
      </c>
      <c r="AN15" s="96">
        <f t="shared" si="12"/>
        <v>0</v>
      </c>
      <c r="AO15" s="96">
        <f t="shared" ref="AO15:AO25" si="23">IF(AB15=1,AE15,IF(AF15=1,AG15,IF(AH15=1,AI15,IF(AK15=1,AL15,0))))</f>
        <v>0</v>
      </c>
      <c r="AP15" s="96">
        <f t="shared" si="21"/>
        <v>5</v>
      </c>
      <c r="AQ15" s="96" t="e">
        <f>VLOOKUP(AO15,Pauschalen!$A$1:$D$244,2,FALSE)</f>
        <v>#N/A</v>
      </c>
      <c r="AR15" s="96">
        <f t="shared" si="13"/>
        <v>0</v>
      </c>
      <c r="AS15" s="96">
        <f t="shared" si="14"/>
        <v>0</v>
      </c>
      <c r="AT15" s="96">
        <f t="shared" si="15"/>
        <v>0</v>
      </c>
      <c r="AU15" s="96">
        <f t="shared" ref="AU15:AU25" si="24">SUM(AR15:AT15)</f>
        <v>0</v>
      </c>
    </row>
    <row r="16" spans="1:50" s="122" customFormat="1" ht="28.5" customHeight="1" thickBot="1" x14ac:dyDescent="0.25">
      <c r="A16" s="211" t="str">
        <f t="shared" si="16"/>
        <v/>
      </c>
      <c r="B16" s="211"/>
      <c r="C16" s="47"/>
      <c r="D16" s="5"/>
      <c r="E16" s="5"/>
      <c r="F16" s="7"/>
      <c r="G16" s="7"/>
      <c r="H16" s="5"/>
      <c r="I16" s="5"/>
      <c r="J16" s="48"/>
      <c r="K16" s="48"/>
      <c r="L16" s="6"/>
      <c r="M16" s="6"/>
      <c r="N16" s="115" t="str">
        <f>IF(OR($AG$1=0,Z16=0,AA16=0),"",VLOOKUP(AO16,VMA[#All],Reisekostenabrechnung!AP16,FALSE))</f>
        <v/>
      </c>
      <c r="O16" s="9"/>
      <c r="P16" s="9"/>
      <c r="Q16" s="7"/>
      <c r="R16" s="116" t="str">
        <f t="shared" si="0"/>
        <v/>
      </c>
      <c r="S16" s="6"/>
      <c r="T16" s="12"/>
      <c r="U16" s="118" t="str">
        <f>IF(OR($AG$1=0,$AG$3&lt;&gt;2,$AG$5&lt;&gt;1),"",IF(S16&lt;&gt;"",VLOOKUP(S16,Pauschalen!$A$1:$D$244,4,FALSE),""))</f>
        <v/>
      </c>
      <c r="V16" s="38"/>
      <c r="W16" s="10"/>
      <c r="X16" s="41"/>
      <c r="Z16" s="96">
        <f t="shared" si="1"/>
        <v>0</v>
      </c>
      <c r="AA16" s="96">
        <f t="shared" si="2"/>
        <v>0</v>
      </c>
      <c r="AB16" s="96">
        <f t="shared" si="3"/>
        <v>0</v>
      </c>
      <c r="AC16" s="123">
        <f t="shared" si="17"/>
        <v>0</v>
      </c>
      <c r="AD16" s="96">
        <f t="shared" si="18"/>
        <v>0</v>
      </c>
      <c r="AE16" s="96">
        <f t="shared" si="19"/>
        <v>0</v>
      </c>
      <c r="AF16" s="96">
        <f t="shared" si="4"/>
        <v>0</v>
      </c>
      <c r="AG16" s="96">
        <f t="shared" si="5"/>
        <v>0</v>
      </c>
      <c r="AH16" s="96">
        <f t="shared" si="6"/>
        <v>0</v>
      </c>
      <c r="AI16" s="96">
        <f t="shared" si="7"/>
        <v>0</v>
      </c>
      <c r="AJ16" s="96">
        <f t="shared" si="8"/>
        <v>0</v>
      </c>
      <c r="AK16" s="96">
        <f t="shared" si="9"/>
        <v>0</v>
      </c>
      <c r="AL16" s="96">
        <f t="shared" si="10"/>
        <v>0</v>
      </c>
      <c r="AM16" s="96">
        <f t="shared" si="11"/>
        <v>0</v>
      </c>
      <c r="AN16" s="96">
        <f t="shared" si="12"/>
        <v>0</v>
      </c>
      <c r="AO16" s="96">
        <f t="shared" si="23"/>
        <v>0</v>
      </c>
      <c r="AP16" s="96">
        <f t="shared" si="21"/>
        <v>5</v>
      </c>
      <c r="AQ16" s="96" t="e">
        <f>VLOOKUP(AO16,Pauschalen!$A$1:$D$244,2,FALSE)</f>
        <v>#N/A</v>
      </c>
      <c r="AR16" s="96">
        <f t="shared" si="13"/>
        <v>0</v>
      </c>
      <c r="AS16" s="96">
        <f t="shared" si="14"/>
        <v>0</v>
      </c>
      <c r="AT16" s="96">
        <f t="shared" si="15"/>
        <v>0</v>
      </c>
      <c r="AU16" s="96">
        <f t="shared" si="24"/>
        <v>0</v>
      </c>
    </row>
    <row r="17" spans="1:47" s="122" customFormat="1" ht="28.5" customHeight="1" thickBot="1" x14ac:dyDescent="0.25">
      <c r="A17" s="211" t="str">
        <f t="shared" si="16"/>
        <v/>
      </c>
      <c r="B17" s="211"/>
      <c r="C17" s="47"/>
      <c r="D17" s="5"/>
      <c r="E17" s="5"/>
      <c r="F17" s="7"/>
      <c r="G17" s="7"/>
      <c r="H17" s="5"/>
      <c r="I17" s="5"/>
      <c r="J17" s="48"/>
      <c r="K17" s="49"/>
      <c r="L17" s="6"/>
      <c r="M17" s="8"/>
      <c r="N17" s="115" t="str">
        <f>IF(OR($AG$1=0,Z17=0,AA17=0),"",VLOOKUP(AO17,VMA[#All],Reisekostenabrechnung!AP17,FALSE))</f>
        <v/>
      </c>
      <c r="O17" s="9"/>
      <c r="P17" s="9"/>
      <c r="Q17" s="9"/>
      <c r="R17" s="116" t="str">
        <f t="shared" si="0"/>
        <v/>
      </c>
      <c r="S17" s="6"/>
      <c r="T17" s="13"/>
      <c r="U17" s="118" t="str">
        <f>IF(OR($AG$1=0,$AG$3&lt;&gt;2,$AG$5&lt;&gt;1),"",IF(S17&lt;&gt;"",VLOOKUP(S17,Pauschalen!$A$1:$D$244,4,FALSE),""))</f>
        <v/>
      </c>
      <c r="V17" s="39"/>
      <c r="W17" s="43"/>
      <c r="X17" s="44"/>
      <c r="Z17" s="96">
        <f t="shared" si="1"/>
        <v>0</v>
      </c>
      <c r="AA17" s="96">
        <f t="shared" si="2"/>
        <v>0</v>
      </c>
      <c r="AB17" s="96">
        <f t="shared" si="3"/>
        <v>0</v>
      </c>
      <c r="AC17" s="123">
        <f t="shared" si="17"/>
        <v>0</v>
      </c>
      <c r="AD17" s="96">
        <f t="shared" si="18"/>
        <v>0</v>
      </c>
      <c r="AE17" s="96">
        <f t="shared" si="19"/>
        <v>0</v>
      </c>
      <c r="AF17" s="96">
        <f t="shared" si="4"/>
        <v>0</v>
      </c>
      <c r="AG17" s="96">
        <f t="shared" si="5"/>
        <v>0</v>
      </c>
      <c r="AH17" s="96">
        <f t="shared" si="6"/>
        <v>0</v>
      </c>
      <c r="AI17" s="96">
        <f t="shared" si="7"/>
        <v>0</v>
      </c>
      <c r="AJ17" s="96">
        <f t="shared" si="8"/>
        <v>0</v>
      </c>
      <c r="AK17" s="96">
        <f t="shared" si="9"/>
        <v>0</v>
      </c>
      <c r="AL17" s="96">
        <f t="shared" si="10"/>
        <v>0</v>
      </c>
      <c r="AM17" s="96">
        <f t="shared" si="11"/>
        <v>0</v>
      </c>
      <c r="AN17" s="96">
        <f t="shared" si="12"/>
        <v>0</v>
      </c>
      <c r="AO17" s="96">
        <f t="shared" si="23"/>
        <v>0</v>
      </c>
      <c r="AP17" s="96">
        <f t="shared" si="21"/>
        <v>5</v>
      </c>
      <c r="AQ17" s="96" t="e">
        <f>VLOOKUP(AO17,Pauschalen!$A$1:$D$244,2,FALSE)</f>
        <v>#N/A</v>
      </c>
      <c r="AR17" s="96">
        <f t="shared" si="13"/>
        <v>0</v>
      </c>
      <c r="AS17" s="96">
        <f t="shared" si="14"/>
        <v>0</v>
      </c>
      <c r="AT17" s="96">
        <f t="shared" si="15"/>
        <v>0</v>
      </c>
      <c r="AU17" s="96">
        <f t="shared" si="24"/>
        <v>0</v>
      </c>
    </row>
    <row r="18" spans="1:47" s="122" customFormat="1" ht="28.5" customHeight="1" thickBot="1" x14ac:dyDescent="0.25">
      <c r="A18" s="211" t="str">
        <f t="shared" si="16"/>
        <v/>
      </c>
      <c r="B18" s="211"/>
      <c r="C18" s="47"/>
      <c r="D18" s="5"/>
      <c r="E18" s="5"/>
      <c r="F18" s="7"/>
      <c r="G18" s="7"/>
      <c r="H18" s="5"/>
      <c r="I18" s="5"/>
      <c r="J18" s="48"/>
      <c r="K18" s="48"/>
      <c r="L18" s="6"/>
      <c r="M18" s="8"/>
      <c r="N18" s="115" t="str">
        <f>IF(OR($AG$1=0,Z18=0,AA18=0),"",VLOOKUP(AO18,VMA[#All],Reisekostenabrechnung!AP18,FALSE))</f>
        <v/>
      </c>
      <c r="O18" s="7"/>
      <c r="P18" s="7"/>
      <c r="Q18" s="7"/>
      <c r="R18" s="116" t="str">
        <f t="shared" si="0"/>
        <v/>
      </c>
      <c r="S18" s="6"/>
      <c r="T18" s="12"/>
      <c r="U18" s="118" t="str">
        <f>IF(OR($AG$1=0,$AG$3&lt;&gt;2,$AG$5&lt;&gt;1),"",IF(S18&lt;&gt;"",VLOOKUP(S18,Pauschalen!$A$1:$D$244,4,FALSE),""))</f>
        <v/>
      </c>
      <c r="V18" s="38"/>
      <c r="W18" s="10"/>
      <c r="X18" s="41"/>
      <c r="Z18" s="96">
        <f t="shared" si="1"/>
        <v>0</v>
      </c>
      <c r="AA18" s="96">
        <f t="shared" si="2"/>
        <v>0</v>
      </c>
      <c r="AB18" s="96">
        <f t="shared" si="3"/>
        <v>0</v>
      </c>
      <c r="AC18" s="123">
        <f t="shared" si="17"/>
        <v>0</v>
      </c>
      <c r="AD18" s="96">
        <f t="shared" si="18"/>
        <v>0</v>
      </c>
      <c r="AE18" s="96">
        <f t="shared" si="19"/>
        <v>0</v>
      </c>
      <c r="AF18" s="96">
        <f t="shared" si="4"/>
        <v>0</v>
      </c>
      <c r="AG18" s="96">
        <f t="shared" si="5"/>
        <v>0</v>
      </c>
      <c r="AH18" s="96">
        <f t="shared" si="6"/>
        <v>0</v>
      </c>
      <c r="AI18" s="96">
        <f t="shared" si="7"/>
        <v>0</v>
      </c>
      <c r="AJ18" s="96">
        <f t="shared" si="8"/>
        <v>0</v>
      </c>
      <c r="AK18" s="96">
        <f t="shared" si="9"/>
        <v>0</v>
      </c>
      <c r="AL18" s="96">
        <f t="shared" si="10"/>
        <v>0</v>
      </c>
      <c r="AM18" s="96">
        <f t="shared" si="11"/>
        <v>0</v>
      </c>
      <c r="AN18" s="96">
        <f t="shared" si="12"/>
        <v>0</v>
      </c>
      <c r="AO18" s="96">
        <f t="shared" si="23"/>
        <v>0</v>
      </c>
      <c r="AP18" s="96">
        <f t="shared" si="21"/>
        <v>5</v>
      </c>
      <c r="AQ18" s="96" t="e">
        <f>VLOOKUP(AO18,Pauschalen!$A$1:$D$244,2,FALSE)</f>
        <v>#N/A</v>
      </c>
      <c r="AR18" s="96">
        <f t="shared" si="13"/>
        <v>0</v>
      </c>
      <c r="AS18" s="96">
        <f t="shared" si="14"/>
        <v>0</v>
      </c>
      <c r="AT18" s="96">
        <f t="shared" si="15"/>
        <v>0</v>
      </c>
      <c r="AU18" s="96">
        <f t="shared" si="24"/>
        <v>0</v>
      </c>
    </row>
    <row r="19" spans="1:47" s="122" customFormat="1" ht="28.5" customHeight="1" thickBot="1" x14ac:dyDescent="0.25">
      <c r="A19" s="211" t="str">
        <f t="shared" si="16"/>
        <v/>
      </c>
      <c r="B19" s="211"/>
      <c r="C19" s="47"/>
      <c r="D19" s="5"/>
      <c r="E19" s="5"/>
      <c r="F19" s="7"/>
      <c r="G19" s="7"/>
      <c r="H19" s="5"/>
      <c r="I19" s="5"/>
      <c r="J19" s="48"/>
      <c r="K19" s="49"/>
      <c r="L19" s="6"/>
      <c r="M19" s="8"/>
      <c r="N19" s="115" t="str">
        <f>IF(OR($AG$1=0,Z19=0,AA19=0),"",VLOOKUP(AO19,VMA[#All],Reisekostenabrechnung!AP19,FALSE))</f>
        <v/>
      </c>
      <c r="O19" s="9"/>
      <c r="P19" s="9"/>
      <c r="Q19" s="9"/>
      <c r="R19" s="116" t="str">
        <f t="shared" si="0"/>
        <v/>
      </c>
      <c r="S19" s="6"/>
      <c r="T19" s="13"/>
      <c r="U19" s="118" t="str">
        <f>IF(OR($AG$1=0,$AG$3&lt;&gt;2,$AG$5&lt;&gt;1),"",IF(S19&lt;&gt;"",VLOOKUP(S19,Pauschalen!$A$1:$D$244,4,FALSE),""))</f>
        <v/>
      </c>
      <c r="V19" s="39"/>
      <c r="W19" s="43"/>
      <c r="X19" s="44"/>
      <c r="Z19" s="96">
        <f t="shared" si="1"/>
        <v>0</v>
      </c>
      <c r="AA19" s="96">
        <f t="shared" si="2"/>
        <v>0</v>
      </c>
      <c r="AB19" s="96">
        <f t="shared" si="3"/>
        <v>0</v>
      </c>
      <c r="AC19" s="123">
        <f t="shared" si="17"/>
        <v>0</v>
      </c>
      <c r="AD19" s="96">
        <f t="shared" si="18"/>
        <v>0</v>
      </c>
      <c r="AE19" s="96">
        <f t="shared" si="19"/>
        <v>0</v>
      </c>
      <c r="AF19" s="96">
        <f t="shared" si="4"/>
        <v>0</v>
      </c>
      <c r="AG19" s="96">
        <f t="shared" si="5"/>
        <v>0</v>
      </c>
      <c r="AH19" s="96">
        <f t="shared" si="6"/>
        <v>0</v>
      </c>
      <c r="AI19" s="96">
        <f t="shared" si="7"/>
        <v>0</v>
      </c>
      <c r="AJ19" s="96">
        <f t="shared" si="8"/>
        <v>0</v>
      </c>
      <c r="AK19" s="96">
        <f t="shared" si="9"/>
        <v>0</v>
      </c>
      <c r="AL19" s="96">
        <f t="shared" si="10"/>
        <v>0</v>
      </c>
      <c r="AM19" s="96">
        <f t="shared" si="11"/>
        <v>0</v>
      </c>
      <c r="AN19" s="96">
        <f t="shared" si="12"/>
        <v>0</v>
      </c>
      <c r="AO19" s="96">
        <f t="shared" si="23"/>
        <v>0</v>
      </c>
      <c r="AP19" s="96">
        <f t="shared" si="21"/>
        <v>5</v>
      </c>
      <c r="AQ19" s="96" t="e">
        <f>VLOOKUP(AO19,Pauschalen!$A$1:$D$244,2,FALSE)</f>
        <v>#N/A</v>
      </c>
      <c r="AR19" s="96">
        <f t="shared" si="13"/>
        <v>0</v>
      </c>
      <c r="AS19" s="96">
        <f t="shared" si="14"/>
        <v>0</v>
      </c>
      <c r="AT19" s="96">
        <f t="shared" si="15"/>
        <v>0</v>
      </c>
      <c r="AU19" s="96">
        <f t="shared" si="24"/>
        <v>0</v>
      </c>
    </row>
    <row r="20" spans="1:47" s="122" customFormat="1" ht="28.5" customHeight="1" thickBot="1" x14ac:dyDescent="0.25">
      <c r="A20" s="211" t="str">
        <f t="shared" si="16"/>
        <v/>
      </c>
      <c r="B20" s="211"/>
      <c r="C20" s="47"/>
      <c r="D20" s="5"/>
      <c r="E20" s="5"/>
      <c r="F20" s="7"/>
      <c r="G20" s="7"/>
      <c r="H20" s="5"/>
      <c r="I20" s="5"/>
      <c r="J20" s="48"/>
      <c r="K20" s="48"/>
      <c r="L20" s="6"/>
      <c r="M20" s="6"/>
      <c r="N20" s="115" t="str">
        <f>IF(OR($AG$1=0,Z20=0,AA20=0),"",VLOOKUP(AO20,VMA[#All],Reisekostenabrechnung!AP20,FALSE))</f>
        <v/>
      </c>
      <c r="O20" s="9"/>
      <c r="P20" s="9"/>
      <c r="Q20" s="7"/>
      <c r="R20" s="116" t="str">
        <f t="shared" si="0"/>
        <v/>
      </c>
      <c r="S20" s="6"/>
      <c r="T20" s="12"/>
      <c r="U20" s="118" t="str">
        <f>IF(OR($AG$1=0,$AG$3&lt;&gt;2,$AG$5&lt;&gt;1),"",IF(S20&lt;&gt;"",VLOOKUP(S20,Pauschalen!$A$1:$D$244,4,FALSE),""))</f>
        <v/>
      </c>
      <c r="V20" s="38"/>
      <c r="W20" s="10"/>
      <c r="X20" s="41"/>
      <c r="Z20" s="96">
        <f t="shared" si="1"/>
        <v>0</v>
      </c>
      <c r="AA20" s="96">
        <f t="shared" si="2"/>
        <v>0</v>
      </c>
      <c r="AB20" s="96">
        <f t="shared" si="3"/>
        <v>0</v>
      </c>
      <c r="AC20" s="123">
        <f t="shared" si="17"/>
        <v>0</v>
      </c>
      <c r="AD20" s="96">
        <f t="shared" si="18"/>
        <v>0</v>
      </c>
      <c r="AE20" s="96">
        <f t="shared" si="19"/>
        <v>0</v>
      </c>
      <c r="AF20" s="96">
        <f t="shared" si="4"/>
        <v>0</v>
      </c>
      <c r="AG20" s="96">
        <f t="shared" si="5"/>
        <v>0</v>
      </c>
      <c r="AH20" s="96">
        <f t="shared" si="6"/>
        <v>0</v>
      </c>
      <c r="AI20" s="96">
        <f t="shared" si="7"/>
        <v>0</v>
      </c>
      <c r="AJ20" s="96">
        <f t="shared" si="8"/>
        <v>0</v>
      </c>
      <c r="AK20" s="96">
        <f t="shared" si="9"/>
        <v>0</v>
      </c>
      <c r="AL20" s="96">
        <f t="shared" si="10"/>
        <v>0</v>
      </c>
      <c r="AM20" s="96">
        <f t="shared" si="11"/>
        <v>0</v>
      </c>
      <c r="AN20" s="96">
        <f t="shared" si="12"/>
        <v>0</v>
      </c>
      <c r="AO20" s="96">
        <f t="shared" si="23"/>
        <v>0</v>
      </c>
      <c r="AP20" s="96">
        <f t="shared" si="21"/>
        <v>5</v>
      </c>
      <c r="AQ20" s="96" t="e">
        <f>VLOOKUP(AO20,Pauschalen!$A$1:$D$244,2,FALSE)</f>
        <v>#N/A</v>
      </c>
      <c r="AR20" s="96">
        <f t="shared" si="13"/>
        <v>0</v>
      </c>
      <c r="AS20" s="96">
        <f t="shared" si="14"/>
        <v>0</v>
      </c>
      <c r="AT20" s="96">
        <f t="shared" si="15"/>
        <v>0</v>
      </c>
      <c r="AU20" s="96">
        <f t="shared" si="24"/>
        <v>0</v>
      </c>
    </row>
    <row r="21" spans="1:47" s="122" customFormat="1" ht="28.5" customHeight="1" thickBot="1" x14ac:dyDescent="0.25">
      <c r="A21" s="211" t="str">
        <f t="shared" si="16"/>
        <v/>
      </c>
      <c r="B21" s="211"/>
      <c r="C21" s="47"/>
      <c r="D21" s="5"/>
      <c r="E21" s="5"/>
      <c r="F21" s="7"/>
      <c r="G21" s="7"/>
      <c r="H21" s="5"/>
      <c r="I21" s="5"/>
      <c r="J21" s="48"/>
      <c r="K21" s="49"/>
      <c r="L21" s="6"/>
      <c r="M21" s="8"/>
      <c r="N21" s="115" t="str">
        <f>IF(OR($AG$1=0,Z21=0,AA21=0),"",VLOOKUP(AO21,VMA[#All],Reisekostenabrechnung!AP21,FALSE))</f>
        <v/>
      </c>
      <c r="O21" s="9"/>
      <c r="P21" s="9"/>
      <c r="Q21" s="9"/>
      <c r="R21" s="116" t="str">
        <f t="shared" si="0"/>
        <v/>
      </c>
      <c r="S21" s="6"/>
      <c r="T21" s="13"/>
      <c r="U21" s="118" t="str">
        <f>IF(OR($AG$1=0,$AG$3&lt;&gt;2,$AG$5&lt;&gt;1),"",IF(S21&lt;&gt;"",VLOOKUP(S21,Pauschalen!$A$1:$D$244,4,FALSE),""))</f>
        <v/>
      </c>
      <c r="V21" s="39"/>
      <c r="W21" s="43"/>
      <c r="X21" s="44"/>
      <c r="Z21" s="96">
        <f t="shared" si="1"/>
        <v>0</v>
      </c>
      <c r="AA21" s="96">
        <f t="shared" si="2"/>
        <v>0</v>
      </c>
      <c r="AB21" s="96">
        <f t="shared" si="3"/>
        <v>0</v>
      </c>
      <c r="AC21" s="123">
        <f t="shared" si="17"/>
        <v>0</v>
      </c>
      <c r="AD21" s="96">
        <f t="shared" si="18"/>
        <v>0</v>
      </c>
      <c r="AE21" s="96">
        <f t="shared" si="19"/>
        <v>0</v>
      </c>
      <c r="AF21" s="96">
        <f t="shared" si="4"/>
        <v>0</v>
      </c>
      <c r="AG21" s="96">
        <f t="shared" si="5"/>
        <v>0</v>
      </c>
      <c r="AH21" s="96">
        <f t="shared" si="6"/>
        <v>0</v>
      </c>
      <c r="AI21" s="96">
        <f t="shared" si="7"/>
        <v>0</v>
      </c>
      <c r="AJ21" s="96">
        <f t="shared" si="8"/>
        <v>0</v>
      </c>
      <c r="AK21" s="96">
        <f t="shared" si="9"/>
        <v>0</v>
      </c>
      <c r="AL21" s="96">
        <f t="shared" si="10"/>
        <v>0</v>
      </c>
      <c r="AM21" s="96">
        <f t="shared" si="11"/>
        <v>0</v>
      </c>
      <c r="AN21" s="96">
        <f t="shared" si="12"/>
        <v>0</v>
      </c>
      <c r="AO21" s="96">
        <f t="shared" ref="AO21" si="25">IF(AB21=1,AE21,IF(AF21=1,AG21,IF(AH21=1,AI21,IF(AK21=1,AL21,0))))</f>
        <v>0</v>
      </c>
      <c r="AP21" s="96">
        <f t="shared" si="21"/>
        <v>5</v>
      </c>
      <c r="AQ21" s="96" t="e">
        <f>VLOOKUP(AO21,Pauschalen!$A$1:$D$244,2,FALSE)</f>
        <v>#N/A</v>
      </c>
      <c r="AR21" s="96">
        <f t="shared" si="13"/>
        <v>0</v>
      </c>
      <c r="AS21" s="96">
        <f t="shared" si="14"/>
        <v>0</v>
      </c>
      <c r="AT21" s="96">
        <f t="shared" si="15"/>
        <v>0</v>
      </c>
      <c r="AU21" s="96">
        <f t="shared" ref="AU21" si="26">SUM(AR21:AT21)</f>
        <v>0</v>
      </c>
    </row>
    <row r="22" spans="1:47" s="122" customFormat="1" ht="28.5" customHeight="1" thickBot="1" x14ac:dyDescent="0.25">
      <c r="A22" s="211" t="str">
        <f t="shared" si="16"/>
        <v/>
      </c>
      <c r="B22" s="211"/>
      <c r="C22" s="47"/>
      <c r="D22" s="5"/>
      <c r="E22" s="5"/>
      <c r="F22" s="7"/>
      <c r="G22" s="7"/>
      <c r="H22" s="5"/>
      <c r="I22" s="5"/>
      <c r="J22" s="48"/>
      <c r="K22" s="49"/>
      <c r="L22" s="6"/>
      <c r="M22" s="8"/>
      <c r="N22" s="115" t="str">
        <f>IF(OR($AG$1=0,Z22=0,AA22=0),"",VLOOKUP(AO22,VMA[#All],Reisekostenabrechnung!AP22,FALSE))</f>
        <v/>
      </c>
      <c r="O22" s="9"/>
      <c r="P22" s="9"/>
      <c r="Q22" s="9"/>
      <c r="R22" s="116" t="str">
        <f t="shared" si="0"/>
        <v/>
      </c>
      <c r="S22" s="8"/>
      <c r="T22" s="13"/>
      <c r="U22" s="118" t="str">
        <f>IF(OR($AG$1=0,$AG$3&lt;&gt;2,$AG$5&lt;&gt;1),"",IF(S22&lt;&gt;"",VLOOKUP(S22,Pauschalen!$A$1:$D$244,4,FALSE),""))</f>
        <v/>
      </c>
      <c r="V22" s="39"/>
      <c r="W22" s="43"/>
      <c r="X22" s="44"/>
      <c r="Z22" s="96">
        <f t="shared" ref="Z22:Z23" si="27">IF(OR(C22="",D22="",E22=""),0,1)</f>
        <v>0</v>
      </c>
      <c r="AA22" s="96">
        <f t="shared" ref="AA22:AA23" si="28">IF(OR(AND(AK22=1,J22&lt;&gt;"",K22&lt;&gt;"",C22&lt;&gt;J22,C22&lt;&gt;K22),AND(E22="Mehrtägigen",L22&lt;&gt;"")),1,IF(AND(E22="eintägigen",M22&lt;&gt;""),1,0))</f>
        <v>0</v>
      </c>
      <c r="AB22" s="96">
        <f t="shared" ref="AB22:AB23" si="29">IF(E22="eintägigen",1,0)</f>
        <v>0</v>
      </c>
      <c r="AC22" s="123">
        <f t="shared" si="17"/>
        <v>0</v>
      </c>
      <c r="AD22" s="96">
        <f t="shared" si="18"/>
        <v>0</v>
      </c>
      <c r="AE22" s="96">
        <f t="shared" ref="AE22:AE23" si="30">IF(AB22=1,M22,0)</f>
        <v>0</v>
      </c>
      <c r="AF22" s="96">
        <f t="shared" ref="AF22:AF23" si="31">IF(AND(E22="mehrtägigen",AH22=0,AK22=0),1,0)</f>
        <v>0</v>
      </c>
      <c r="AG22" s="96">
        <f t="shared" ref="AG22:AG23" si="32">IF(AF22=1,IF(H22&lt;&gt;"endete",L22,IF(M22="",L22,M22)),0)</f>
        <v>0</v>
      </c>
      <c r="AH22" s="96">
        <f t="shared" ref="AH22:AH23" si="33">IF(I22="Flugzeug",1,0)</f>
        <v>0</v>
      </c>
      <c r="AI22" s="96">
        <f t="shared" ref="AI22:AI23" si="34">IF(AH22=1,IF(AND(H22="endete",M22&lt;&gt;""),M22,IF(J22=C22,L22,IF(AND(J22&lt;&gt;C22,K22=C22),L22,IF(AND(C22&lt;&gt;J22,C22&lt;&gt;K22,J22&lt;&gt;"",K22&lt;&gt;""),$AO$3,0)))),0)</f>
        <v>0</v>
      </c>
      <c r="AJ22" s="96">
        <f t="shared" ref="AJ22:AJ23" si="35">IF(AND(AH22=1,C22&lt;&gt;J22,C22=K22,L22=""),1,0)</f>
        <v>0</v>
      </c>
      <c r="AK22" s="96">
        <f t="shared" ref="AK22:AK23" si="36">IF(I22="Schiff",1,0)</f>
        <v>0</v>
      </c>
      <c r="AL22" s="96">
        <f t="shared" ref="AL22:AL23" si="37">IF(AK22=1,IF(C22=J22,L22,IF(C22=K22,L22,IF(AND(C22&lt;&gt;J22,C22&lt;&gt;K22,J22&lt;&gt;"",K22&lt;&gt;""),$AO$5,0))),0)</f>
        <v>0</v>
      </c>
      <c r="AM22" s="96">
        <f t="shared" ref="AM22:AM23" si="38">IF(AND(AK22=1,C22=J22,L22=""),1,0)</f>
        <v>0</v>
      </c>
      <c r="AN22" s="96">
        <f t="shared" ref="AN22:AN23" si="39">IF(AND(AK22=1,C22=K22,L22=""),1,0)</f>
        <v>0</v>
      </c>
      <c r="AO22" s="96">
        <f t="shared" ref="AO22:AO23" si="40">IF(AB22=1,AE22,IF(AF22=1,AG22,IF(AH22=1,AI22,IF(AK22=1,AL22,0))))</f>
        <v>0</v>
      </c>
      <c r="AP22" s="96">
        <f t="shared" si="21"/>
        <v>5</v>
      </c>
      <c r="AQ22" s="96" t="e">
        <f>VLOOKUP(AO22,Pauschalen!$A$1:$D$244,2,FALSE)</f>
        <v>#N/A</v>
      </c>
      <c r="AR22" s="96">
        <f t="shared" ref="AR22:AR23" si="41">IF(O22&lt;&gt;"",0.2,0)</f>
        <v>0</v>
      </c>
      <c r="AS22" s="96">
        <f t="shared" ref="AS22:AS23" si="42">IF(P22&lt;&gt;"",0.4,0)</f>
        <v>0</v>
      </c>
      <c r="AT22" s="96">
        <f t="shared" ref="AT22:AT23" si="43">IF(Q22&lt;&gt;"",0.4,0)</f>
        <v>0</v>
      </c>
      <c r="AU22" s="96">
        <f t="shared" ref="AU22:AU23" si="44">SUM(AR22:AT22)</f>
        <v>0</v>
      </c>
    </row>
    <row r="23" spans="1:47" s="122" customFormat="1" ht="28.5" customHeight="1" thickBot="1" x14ac:dyDescent="0.25">
      <c r="A23" s="211" t="str">
        <f t="shared" si="16"/>
        <v/>
      </c>
      <c r="B23" s="211"/>
      <c r="C23" s="47"/>
      <c r="D23" s="5"/>
      <c r="E23" s="5"/>
      <c r="F23" s="7"/>
      <c r="G23" s="7"/>
      <c r="H23" s="5"/>
      <c r="I23" s="5"/>
      <c r="J23" s="48"/>
      <c r="K23" s="49"/>
      <c r="L23" s="8"/>
      <c r="M23" s="6"/>
      <c r="N23" s="115" t="str">
        <f>IF(OR($AG$1=0,Z23=0,AA23=0),"",VLOOKUP(AO23,VMA[#All],Reisekostenabrechnung!AP23,FALSE))</f>
        <v/>
      </c>
      <c r="O23" s="9"/>
      <c r="P23" s="9"/>
      <c r="Q23" s="9"/>
      <c r="R23" s="116" t="str">
        <f t="shared" si="0"/>
        <v/>
      </c>
      <c r="S23" s="8"/>
      <c r="T23" s="13"/>
      <c r="U23" s="118" t="str">
        <f>IF(OR($AG$1=0,$AG$3&lt;&gt;2,$AG$5&lt;&gt;1),"",IF(S23&lt;&gt;"",VLOOKUP(S23,Pauschalen!$A$1:$D$244,4,FALSE),""))</f>
        <v/>
      </c>
      <c r="V23" s="39"/>
      <c r="W23" s="43"/>
      <c r="X23" s="44"/>
      <c r="Z23" s="96">
        <f t="shared" si="27"/>
        <v>0</v>
      </c>
      <c r="AA23" s="96">
        <f t="shared" si="28"/>
        <v>0</v>
      </c>
      <c r="AB23" s="96">
        <f t="shared" si="29"/>
        <v>0</v>
      </c>
      <c r="AC23" s="123">
        <f t="shared" si="17"/>
        <v>0</v>
      </c>
      <c r="AD23" s="96">
        <f t="shared" si="18"/>
        <v>0</v>
      </c>
      <c r="AE23" s="96">
        <f t="shared" si="30"/>
        <v>0</v>
      </c>
      <c r="AF23" s="96">
        <f t="shared" si="31"/>
        <v>0</v>
      </c>
      <c r="AG23" s="96">
        <f t="shared" si="32"/>
        <v>0</v>
      </c>
      <c r="AH23" s="96">
        <f t="shared" si="33"/>
        <v>0</v>
      </c>
      <c r="AI23" s="96">
        <f t="shared" si="34"/>
        <v>0</v>
      </c>
      <c r="AJ23" s="96">
        <f t="shared" si="35"/>
        <v>0</v>
      </c>
      <c r="AK23" s="96">
        <f t="shared" si="36"/>
        <v>0</v>
      </c>
      <c r="AL23" s="96">
        <f t="shared" si="37"/>
        <v>0</v>
      </c>
      <c r="AM23" s="96">
        <f t="shared" si="38"/>
        <v>0</v>
      </c>
      <c r="AN23" s="96">
        <f t="shared" si="39"/>
        <v>0</v>
      </c>
      <c r="AO23" s="96">
        <f t="shared" si="40"/>
        <v>0</v>
      </c>
      <c r="AP23" s="96">
        <f t="shared" si="21"/>
        <v>5</v>
      </c>
      <c r="AQ23" s="96" t="e">
        <f>VLOOKUP(AO23,Pauschalen!$A$1:$D$244,2,FALSE)</f>
        <v>#N/A</v>
      </c>
      <c r="AR23" s="96">
        <f t="shared" si="41"/>
        <v>0</v>
      </c>
      <c r="AS23" s="96">
        <f t="shared" si="42"/>
        <v>0</v>
      </c>
      <c r="AT23" s="96">
        <f t="shared" si="43"/>
        <v>0</v>
      </c>
      <c r="AU23" s="96">
        <f t="shared" si="44"/>
        <v>0</v>
      </c>
    </row>
    <row r="24" spans="1:47" s="122" customFormat="1" ht="28.5" customHeight="1" thickBot="1" x14ac:dyDescent="0.25">
      <c r="A24" s="211" t="str">
        <f t="shared" si="16"/>
        <v/>
      </c>
      <c r="B24" s="211"/>
      <c r="C24" s="47"/>
      <c r="D24" s="5"/>
      <c r="E24" s="5"/>
      <c r="F24" s="7"/>
      <c r="G24" s="7"/>
      <c r="H24" s="5"/>
      <c r="I24" s="5"/>
      <c r="J24" s="48"/>
      <c r="K24" s="49"/>
      <c r="L24" s="8"/>
      <c r="M24" s="8"/>
      <c r="N24" s="115" t="str">
        <f>IF(OR($AG$1=0,Z24=0,AA24=0),"",VLOOKUP(AO24,VMA[#All],Reisekostenabrechnung!AP24,FALSE))</f>
        <v/>
      </c>
      <c r="O24" s="9"/>
      <c r="P24" s="9"/>
      <c r="Q24" s="9"/>
      <c r="R24" s="116" t="str">
        <f t="shared" si="0"/>
        <v/>
      </c>
      <c r="S24" s="8"/>
      <c r="T24" s="13"/>
      <c r="U24" s="118" t="str">
        <f>IF(OR($AG$1=0,$AG$3&lt;&gt;2,$AG$5&lt;&gt;1),"",IF(S24&lt;&gt;"",VLOOKUP(S24,Pauschalen!$A$1:$D$244,4,FALSE),""))</f>
        <v/>
      </c>
      <c r="V24" s="39"/>
      <c r="W24" s="43"/>
      <c r="X24" s="44"/>
      <c r="Z24" s="96">
        <f>IF(OR(C24="",D24="",E24=""),0,1)</f>
        <v>0</v>
      </c>
      <c r="AA24" s="96">
        <f>IF(OR(AND(AK24=1,J24&lt;&gt;"",K24&lt;&gt;"",C24&lt;&gt;J24,C24&lt;&gt;K24),AND(E24="Mehrtägigen",L24&lt;&gt;"")),1,IF(AND(E24="eintägigen",M24&lt;&gt;""),1,0))</f>
        <v>0</v>
      </c>
      <c r="AB24" s="96">
        <f>IF(E24="eintägigen",1,0)</f>
        <v>0</v>
      </c>
      <c r="AC24" s="123">
        <f t="shared" si="17"/>
        <v>0</v>
      </c>
      <c r="AD24" s="96">
        <f t="shared" si="18"/>
        <v>0</v>
      </c>
      <c r="AE24" s="96">
        <f>IF(AB24=1,M24,0)</f>
        <v>0</v>
      </c>
      <c r="AF24" s="96">
        <f>IF(AND(E24="mehrtägigen",AH24=0,AK24=0),1,0)</f>
        <v>0</v>
      </c>
      <c r="AG24" s="96">
        <f>IF(AF24=1,IF(H24&lt;&gt;"endete",L24,IF(M24="",L24,M24)),0)</f>
        <v>0</v>
      </c>
      <c r="AH24" s="96">
        <f>IF(I24="Flugzeug",1,0)</f>
        <v>0</v>
      </c>
      <c r="AI24" s="96">
        <f>IF(AH24=1,IF(AND(H24="endete",M24&lt;&gt;""),M24,IF(J24=C24,L24,IF(AND(J24&lt;&gt;C24,K24=C24),L24,IF(AND(C24&lt;&gt;J24,C24&lt;&gt;K24,J24&lt;&gt;"",K24&lt;&gt;""),$AO$3,0)))),0)</f>
        <v>0</v>
      </c>
      <c r="AJ24" s="96">
        <f>IF(AND(AH24=1,C24&lt;&gt;J24,C24=K24,L24=""),1,0)</f>
        <v>0</v>
      </c>
      <c r="AK24" s="96">
        <f>IF(I24="Schiff",1,0)</f>
        <v>0</v>
      </c>
      <c r="AL24" s="96">
        <f>IF(AK24=1,IF(C24=J24,L24,IF(C24=K24,L24,IF(AND(C24&lt;&gt;J24,C24&lt;&gt;K24,J24&lt;&gt;"",K24&lt;&gt;""),$AO$5,0))),0)</f>
        <v>0</v>
      </c>
      <c r="AM24" s="96">
        <f>IF(AND(AK24=1,C24=J24,L24=""),1,0)</f>
        <v>0</v>
      </c>
      <c r="AN24" s="96">
        <f>IF(AND(AK24=1,C24=K24,L24=""),1,0)</f>
        <v>0</v>
      </c>
      <c r="AO24" s="96">
        <f t="shared" si="23"/>
        <v>0</v>
      </c>
      <c r="AP24" s="96">
        <f t="shared" si="21"/>
        <v>5</v>
      </c>
      <c r="AQ24" s="96" t="e">
        <f>VLOOKUP(AO24,Pauschalen!$A$1:$D$244,2,FALSE)</f>
        <v>#N/A</v>
      </c>
      <c r="AR24" s="96">
        <f>IF(O24&lt;&gt;"",0.2,0)</f>
        <v>0</v>
      </c>
      <c r="AS24" s="96">
        <f>IF(P24&lt;&gt;"",0.4,0)</f>
        <v>0</v>
      </c>
      <c r="AT24" s="96">
        <f>IF(Q24&lt;&gt;"",0.4,0)</f>
        <v>0</v>
      </c>
      <c r="AU24" s="96">
        <f t="shared" si="24"/>
        <v>0</v>
      </c>
    </row>
    <row r="25" spans="1:47" s="122" customFormat="1" ht="28.5" customHeight="1" thickBot="1" x14ac:dyDescent="0.25">
      <c r="A25" s="211" t="str">
        <f t="shared" si="16"/>
        <v/>
      </c>
      <c r="B25" s="211"/>
      <c r="C25" s="47"/>
      <c r="D25" s="5"/>
      <c r="E25" s="5"/>
      <c r="F25" s="7"/>
      <c r="G25" s="7"/>
      <c r="H25" s="5"/>
      <c r="I25" s="5"/>
      <c r="J25" s="48"/>
      <c r="K25" s="48"/>
      <c r="L25" s="6"/>
      <c r="M25" s="8"/>
      <c r="N25" s="115" t="str">
        <f>IF(OR($AG$1=0,Z25=0,AA25=0),"",VLOOKUP(AO25,VMA[#All],Reisekostenabrechnung!AP25,FALSE))</f>
        <v/>
      </c>
      <c r="O25" s="7"/>
      <c r="P25" s="7"/>
      <c r="Q25" s="7"/>
      <c r="R25" s="116" t="str">
        <f t="shared" si="0"/>
        <v/>
      </c>
      <c r="S25" s="6"/>
      <c r="T25" s="12"/>
      <c r="U25" s="118" t="str">
        <f>IF(OR($AG$1=0,$AG$3&lt;&gt;2,$AG$5&lt;&gt;1),"",IF(S25&lt;&gt;"",VLOOKUP(S25,Pauschalen!$A$1:$D$244,4,FALSE),""))</f>
        <v/>
      </c>
      <c r="V25" s="39"/>
      <c r="W25" s="10"/>
      <c r="X25" s="41"/>
      <c r="Z25" s="96">
        <f>IF(OR(C25="",D25="",E25=""),0,1)</f>
        <v>0</v>
      </c>
      <c r="AA25" s="96">
        <f>IF(OR(AND(AK25=1,J25&lt;&gt;"",K25&lt;&gt;"",C25&lt;&gt;J25,C25&lt;&gt;K25),AND(E25="Mehrtägigen",L25&lt;&gt;"")),1,IF(AND(E25="eintägigen",M25&lt;&gt;""),1,0))</f>
        <v>0</v>
      </c>
      <c r="AB25" s="96">
        <f>IF(E25="eintägigen",1,0)</f>
        <v>0</v>
      </c>
      <c r="AC25" s="123">
        <f t="shared" si="17"/>
        <v>0</v>
      </c>
      <c r="AD25" s="96">
        <f t="shared" si="18"/>
        <v>0</v>
      </c>
      <c r="AE25" s="96">
        <f>IF(AB25=1,M25,0)</f>
        <v>0</v>
      </c>
      <c r="AF25" s="96">
        <f>IF(AND(E25="mehrtägigen",AH25=0,AK25=0),1,0)</f>
        <v>0</v>
      </c>
      <c r="AG25" s="96">
        <f>IF(AF25=1,IF(H25&lt;&gt;"endete",L25,IF(M25="",L25,M25)),0)</f>
        <v>0</v>
      </c>
      <c r="AH25" s="96">
        <f>IF(I25="Flugzeug",1,0)</f>
        <v>0</v>
      </c>
      <c r="AI25" s="96">
        <f>IF(AH25=1,IF(AND(H25="endete",M25&lt;&gt;""),M25,IF(J25=C25,L25,IF(AND(J25&lt;&gt;C25,K25=C25),L25,IF(AND(C25&lt;&gt;J25,C25&lt;&gt;K25,J25&lt;&gt;"",K25&lt;&gt;""),$AO$3,0)))),0)</f>
        <v>0</v>
      </c>
      <c r="AJ25" s="96">
        <f>IF(AND(AH25=1,C25&lt;&gt;J25,C25=K25,L25=""),1,0)</f>
        <v>0</v>
      </c>
      <c r="AK25" s="96">
        <f>IF(I25="Schiff",1,0)</f>
        <v>0</v>
      </c>
      <c r="AL25" s="96">
        <f>IF(AK25=1,IF(C25=J25,L25,IF(C25=K25,L25,IF(AND(C25&lt;&gt;J25,C25&lt;&gt;K25,J25&lt;&gt;"",K25&lt;&gt;""),$AO$5,0))),0)</f>
        <v>0</v>
      </c>
      <c r="AM25" s="96">
        <f>IF(AND(AK25=1,C25=J25,L25=""),1,0)</f>
        <v>0</v>
      </c>
      <c r="AN25" s="96">
        <f>IF(AND(AK25=1,C25=K25,L25=""),1,0)</f>
        <v>0</v>
      </c>
      <c r="AO25" s="96">
        <f t="shared" si="23"/>
        <v>0</v>
      </c>
      <c r="AP25" s="96">
        <f t="shared" si="21"/>
        <v>5</v>
      </c>
      <c r="AQ25" s="96" t="e">
        <f>VLOOKUP(AO25,Pauschalen!$A$1:$D$244,2,FALSE)</f>
        <v>#N/A</v>
      </c>
      <c r="AR25" s="96">
        <f>IF(O25&lt;&gt;"",0.2,0)</f>
        <v>0</v>
      </c>
      <c r="AS25" s="96">
        <f>IF(P25&lt;&gt;"",0.4,0)</f>
        <v>0</v>
      </c>
      <c r="AT25" s="96">
        <f>IF(Q25&lt;&gt;"",0.4,0)</f>
        <v>0</v>
      </c>
      <c r="AU25" s="96">
        <f t="shared" si="24"/>
        <v>0</v>
      </c>
    </row>
    <row r="26" spans="1:47" s="122" customFormat="1" ht="15" customHeight="1" thickBot="1" x14ac:dyDescent="0.25">
      <c r="A26" s="136"/>
      <c r="B26" s="136"/>
      <c r="C26" s="137" t="s">
        <v>342</v>
      </c>
      <c r="D26" s="138"/>
      <c r="E26" s="138"/>
      <c r="F26" s="138"/>
      <c r="G26" s="138"/>
      <c r="H26" s="138"/>
      <c r="I26" s="138"/>
      <c r="J26" s="138"/>
      <c r="K26" s="138"/>
      <c r="L26" s="139"/>
      <c r="M26" s="139"/>
      <c r="N26" s="140">
        <f>SUM(N11:N25)</f>
        <v>0</v>
      </c>
      <c r="O26" s="141"/>
      <c r="P26" s="141"/>
      <c r="Q26" s="141"/>
      <c r="R26" s="142">
        <f>SUM(R11:R25)</f>
        <v>0</v>
      </c>
      <c r="S26" s="142"/>
      <c r="T26" s="142">
        <f>SUM(T11:T25)</f>
        <v>0</v>
      </c>
      <c r="U26" s="140">
        <f>SUM(U11:U25)</f>
        <v>0</v>
      </c>
      <c r="V26" s="142"/>
      <c r="W26" s="140"/>
      <c r="X26" s="143">
        <f>SUM(X11:X25)</f>
        <v>0</v>
      </c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  <c r="AP26" s="96"/>
      <c r="AQ26" s="96"/>
      <c r="AR26" s="96"/>
      <c r="AS26" s="96"/>
      <c r="AT26" s="96"/>
      <c r="AU26" s="96"/>
    </row>
    <row r="27" spans="1:47" s="144" customFormat="1" ht="5.0999999999999996" customHeight="1" thickBot="1" x14ac:dyDescent="0.25">
      <c r="B27" s="145"/>
      <c r="C27" s="146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8"/>
      <c r="O27" s="149"/>
      <c r="P27" s="149"/>
      <c r="Q27" s="149"/>
      <c r="R27" s="11"/>
      <c r="S27" s="11"/>
      <c r="T27" s="147"/>
      <c r="U27" s="150"/>
      <c r="V27" s="150"/>
      <c r="W27" s="150"/>
      <c r="X27" s="147"/>
    </row>
    <row r="28" spans="1:47" s="151" customFormat="1" ht="15" customHeight="1" thickBot="1" x14ac:dyDescent="0.25">
      <c r="C28" s="152" t="str">
        <f>IF(AG3=2,"Verpflegungsmehraufwendungen abzgl. Kürzungen","Verpflegungsmehraufwendungen")</f>
        <v>Verpflegungsmehraufwendungen</v>
      </c>
      <c r="D28" s="153"/>
      <c r="E28" s="153"/>
      <c r="F28" s="153"/>
      <c r="G28" s="153"/>
      <c r="H28" s="153"/>
      <c r="I28" s="153"/>
      <c r="J28" s="153"/>
      <c r="K28" s="153"/>
      <c r="L28" s="154" t="str">
        <f>IF(OR($AG$3=1,AND($AG$3=2,$AG$5=2)),"Ansatz mit:",IF($AG$5=1,"Erstattung erfolgt lt. betriebl. Vereinbarung:",""))</f>
        <v/>
      </c>
      <c r="M28" s="218" t="s">
        <v>334</v>
      </c>
      <c r="N28" s="218"/>
      <c r="O28" s="218"/>
      <c r="P28" s="218"/>
      <c r="Q28" s="218"/>
      <c r="R28" s="218"/>
      <c r="S28" s="15"/>
      <c r="T28" s="208"/>
      <c r="U28" s="15"/>
      <c r="V28" s="15"/>
      <c r="W28" s="273">
        <f>IF(AG5=1,IF(AB28=3,T28,IF(AB28=1,R26,0)),IF(AG3=1,N26,R26))</f>
        <v>0</v>
      </c>
      <c r="X28" s="274"/>
      <c r="Y28" s="155"/>
      <c r="Z28" s="156" t="s">
        <v>312</v>
      </c>
      <c r="AA28" s="157"/>
      <c r="AB28" s="157">
        <f>IF(M28="in Höhe der gesetzlichen Pauschalen",1,IF(M28="mit einem individuellen Betrag in Höhe von:",3,""))</f>
        <v>3</v>
      </c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7"/>
      <c r="AQ28" s="157"/>
      <c r="AR28" s="157"/>
      <c r="AS28" s="157"/>
      <c r="AT28" s="157"/>
      <c r="AU28" s="157"/>
    </row>
    <row r="29" spans="1:47" s="151" customFormat="1" ht="5.0999999999999996" customHeight="1" thickBot="1" x14ac:dyDescent="0.25">
      <c r="C29" s="158"/>
      <c r="D29" s="159"/>
      <c r="E29" s="159"/>
      <c r="F29" s="159"/>
      <c r="G29" s="159"/>
      <c r="H29" s="159"/>
      <c r="I29" s="159"/>
      <c r="J29" s="159"/>
      <c r="K29" s="159"/>
      <c r="L29" s="160"/>
      <c r="M29" s="160"/>
      <c r="N29" s="161"/>
      <c r="Q29" s="2"/>
      <c r="U29" s="162"/>
      <c r="V29" s="162"/>
      <c r="W29" s="162"/>
      <c r="X29" s="163"/>
    </row>
    <row r="30" spans="1:47" s="151" customFormat="1" ht="15" customHeight="1" thickBot="1" x14ac:dyDescent="0.25">
      <c r="C30" s="164" t="s">
        <v>0</v>
      </c>
      <c r="D30" s="165"/>
      <c r="E30" s="165"/>
      <c r="F30" s="165"/>
      <c r="G30" s="165"/>
      <c r="H30" s="165"/>
      <c r="I30" s="165"/>
      <c r="J30" s="154"/>
      <c r="K30" s="154"/>
      <c r="L30" s="154" t="str">
        <f>IF(OR($AG$3=1,AND($AG$3=2,$AG$5=2)),"Ansatz mit:",IF($AG$5=1,"Erstattung erfolgt lt. betriebl. Vereinbarung:",""))</f>
        <v/>
      </c>
      <c r="M30" s="226"/>
      <c r="N30" s="226"/>
      <c r="O30" s="226"/>
      <c r="P30" s="226"/>
      <c r="Q30" s="226"/>
      <c r="R30" s="226"/>
      <c r="S30" s="1"/>
      <c r="T30" s="23"/>
      <c r="U30" s="1"/>
      <c r="V30" s="1"/>
      <c r="W30" s="273">
        <f>IF(OR(AG3=0,AG3=1),0,IF(AG5=2,T26,IF(AB30=1,T26,IF(AB30=2,U26,IF(AB30=3,T30,0)))))</f>
        <v>0</v>
      </c>
      <c r="X30" s="274"/>
      <c r="AB30" s="151" t="str">
        <f>IF(M30="in Höhe der tatsächlichen Aufwendungen",1,IF(M30="in Höhe der erstattungsfähigen Pauschalen",2,IF(M30="mit einem individuellen Betrag in Höhe von:",3,"")))</f>
        <v/>
      </c>
    </row>
    <row r="31" spans="1:47" s="151" customFormat="1" ht="5.0999999999999996" customHeight="1" thickBot="1" x14ac:dyDescent="0.25">
      <c r="C31" s="166"/>
      <c r="D31" s="167"/>
      <c r="E31" s="167"/>
      <c r="F31" s="167"/>
      <c r="G31" s="167"/>
      <c r="H31" s="167"/>
      <c r="I31" s="167"/>
      <c r="J31" s="167"/>
      <c r="K31" s="168"/>
      <c r="L31" s="169"/>
      <c r="M31" s="169"/>
      <c r="N31" s="161"/>
      <c r="O31" s="3"/>
      <c r="P31" s="3"/>
      <c r="Q31" s="2"/>
      <c r="R31" s="3"/>
      <c r="S31" s="3"/>
      <c r="T31" s="3"/>
      <c r="U31" s="3"/>
      <c r="V31" s="14"/>
      <c r="W31" s="3"/>
      <c r="X31" s="163"/>
    </row>
    <row r="32" spans="1:47" s="151" customFormat="1" ht="15" customHeight="1" thickBot="1" x14ac:dyDescent="0.25">
      <c r="C32" s="170" t="s">
        <v>320</v>
      </c>
      <c r="D32" s="171"/>
      <c r="E32" s="172" t="s">
        <v>321</v>
      </c>
      <c r="F32" s="172"/>
      <c r="G32" s="172"/>
      <c r="H32" s="173" t="s">
        <v>318</v>
      </c>
      <c r="I32" s="174">
        <f>SUMIFS(W11:W25,V11:V25,"pkw")</f>
        <v>0</v>
      </c>
      <c r="J32" s="175"/>
      <c r="K32" s="176"/>
      <c r="L32" s="173" t="str">
        <f>IF(OR($AG$3=1,AND($AG$3=2,$AG$5=2)),"Ansatz mit:",IF($AG$5=1,"Erstattung erfolgt lt. betriebl. Vereinbarung:",""))</f>
        <v/>
      </c>
      <c r="M32" s="224"/>
      <c r="N32" s="224"/>
      <c r="O32" s="224"/>
      <c r="P32" s="224"/>
      <c r="Q32" s="224"/>
      <c r="R32" s="209"/>
      <c r="S32" s="178" t="str">
        <f>IF(OR($AG$3=1,AB32=1,AND($AG$3=2,$AG$5=2)),""&amp;AG32&amp;" € / km","€ / km")</f>
        <v>€ / km</v>
      </c>
      <c r="T32" s="19">
        <f>IF(AND($AG$3=2,$AG$5=1),IF(AND(M32&lt;&gt;"",AB32=1),AG32*I32,IF(AND(M32&lt;&gt;"",AB32=3),R32*I32,0)),AG32*I32)</f>
        <v>0</v>
      </c>
      <c r="U32" s="1"/>
      <c r="V32" s="1"/>
      <c r="W32" s="273">
        <f>IF(AND(AG3=1,AG1=1),X26+SUM(T32:T34),IF(AB35=1,X26,IF(AB35=3,T35,0))+SUM(T32:T34))</f>
        <v>0</v>
      </c>
      <c r="X32" s="274"/>
      <c r="AB32" s="151" t="str">
        <f>IF(M32="nach dem gesetzlichen km-satz von:",1,IF(M32="mit einem km-satz von:",3,""))</f>
        <v/>
      </c>
      <c r="AF32" s="179" t="s">
        <v>344</v>
      </c>
      <c r="AG32" s="180">
        <v>0.3</v>
      </c>
    </row>
    <row r="33" spans="3:33" s="151" customFormat="1" ht="15" customHeight="1" x14ac:dyDescent="0.2">
      <c r="C33" s="221" t="s">
        <v>369</v>
      </c>
      <c r="D33" s="222"/>
      <c r="E33" s="181" t="s">
        <v>315</v>
      </c>
      <c r="F33" s="181"/>
      <c r="G33" s="181"/>
      <c r="H33" s="168" t="s">
        <v>318</v>
      </c>
      <c r="I33" s="182">
        <f>SUMIFS(W11:W25,V11:V25,"sonst. kfz")</f>
        <v>0</v>
      </c>
      <c r="J33" s="183"/>
      <c r="L33" s="168" t="str">
        <f t="shared" ref="L33:L35" si="45">IF(OR($AG$3=1,AND($AG$3=2,$AG$5=2)),"Ansatz mit:",IF($AG$5=1,"Erstattung erfolgt lt. betriebl. Vereinbarung:",""))</f>
        <v/>
      </c>
      <c r="M33" s="225"/>
      <c r="N33" s="225"/>
      <c r="O33" s="225"/>
      <c r="P33" s="225"/>
      <c r="Q33" s="225"/>
      <c r="R33" s="210"/>
      <c r="S33" s="185" t="str">
        <f>IF(OR($AG$3=1,AB33=1,AND($AG$3=2,$AG$5=2)),""&amp;AG33&amp;" € / km","€ / km")</f>
        <v>€ / km</v>
      </c>
      <c r="T33" s="20">
        <f>IF(AND($AG$3=2,$AG$5=1),IF(AND(M33&lt;&gt;"",AB33=1),AG33*I33,IF(AND(M33&lt;&gt;"",AB33=3),R33*I33,0)),AG33*I33)</f>
        <v>0</v>
      </c>
      <c r="U33" s="16"/>
      <c r="V33" s="16"/>
      <c r="W33" s="17"/>
      <c r="X33" s="18"/>
      <c r="AB33" s="151" t="str">
        <f>IF(M33="nach dem gesetzlichen km-satz von:",1,IF(M33="mit einem km-satz von:",3,""))</f>
        <v/>
      </c>
      <c r="AF33" s="179" t="s">
        <v>344</v>
      </c>
      <c r="AG33" s="180">
        <v>0.2</v>
      </c>
    </row>
    <row r="34" spans="3:33" s="151" customFormat="1" ht="12.75" customHeight="1" x14ac:dyDescent="0.2">
      <c r="C34" s="223"/>
      <c r="D34" s="222"/>
      <c r="E34" s="181" t="s">
        <v>316</v>
      </c>
      <c r="F34" s="181"/>
      <c r="G34" s="181"/>
      <c r="H34" s="168" t="s">
        <v>318</v>
      </c>
      <c r="I34" s="182">
        <f>SUMIFS(W11:W25,V11:V25,"fahrrad")</f>
        <v>0</v>
      </c>
      <c r="J34" s="186"/>
      <c r="L34" s="168" t="str">
        <f t="shared" si="45"/>
        <v/>
      </c>
      <c r="M34" s="151" t="str">
        <f>IF($AG$5=1,"mit:","")</f>
        <v/>
      </c>
      <c r="N34" s="184"/>
      <c r="O34" s="184"/>
      <c r="P34" s="187"/>
      <c r="Q34" s="187"/>
      <c r="R34" s="188"/>
      <c r="T34" s="22"/>
      <c r="U34" s="190"/>
      <c r="V34" s="190"/>
      <c r="X34" s="163"/>
    </row>
    <row r="35" spans="3:33" s="151" customFormat="1" ht="12" customHeight="1" x14ac:dyDescent="0.2">
      <c r="C35" s="191" t="s">
        <v>370</v>
      </c>
      <c r="J35" s="186"/>
      <c r="L35" s="168" t="str">
        <f t="shared" si="45"/>
        <v/>
      </c>
      <c r="M35" s="272"/>
      <c r="N35" s="272"/>
      <c r="O35" s="272"/>
      <c r="P35" s="272"/>
      <c r="Q35" s="272"/>
      <c r="R35" s="272"/>
      <c r="S35" s="188"/>
      <c r="T35" s="50"/>
      <c r="U35" s="190"/>
      <c r="V35" s="190"/>
      <c r="W35" s="190"/>
      <c r="X35" s="163"/>
      <c r="AB35" s="151" t="str">
        <f>IF(M35="in Höhe der tatsächlichen Aufwendungen",1,IF(M35="mit einem individuellen Betrag in Höhe von:",3,""))</f>
        <v/>
      </c>
    </row>
    <row r="36" spans="3:33" s="151" customFormat="1" ht="5.0999999999999996" customHeight="1" thickBot="1" x14ac:dyDescent="0.25">
      <c r="C36" s="155"/>
      <c r="L36" s="193"/>
      <c r="M36" s="193"/>
      <c r="N36" s="188"/>
      <c r="Q36" s="188"/>
      <c r="R36" s="188"/>
      <c r="S36" s="188"/>
      <c r="T36" s="188"/>
      <c r="U36" s="190"/>
      <c r="V36" s="190"/>
      <c r="W36" s="190"/>
      <c r="X36" s="163"/>
    </row>
    <row r="37" spans="3:33" s="151" customFormat="1" ht="17.45" customHeight="1" thickBot="1" x14ac:dyDescent="0.25">
      <c r="C37" s="194" t="s">
        <v>230</v>
      </c>
      <c r="D37" s="195"/>
      <c r="E37" s="195"/>
      <c r="F37" s="195"/>
      <c r="G37" s="195"/>
      <c r="H37" s="195"/>
      <c r="I37" s="195" t="str">
        <f>IF((($S$3)="")," ",$S$3)</f>
        <v xml:space="preserve"> </v>
      </c>
      <c r="J37" s="195"/>
      <c r="K37" s="195"/>
      <c r="L37" s="195"/>
      <c r="M37" s="195"/>
      <c r="N37" s="196"/>
      <c r="O37" s="196"/>
      <c r="P37" s="196"/>
      <c r="Q37" s="196"/>
      <c r="R37" s="196"/>
      <c r="S37" s="196"/>
      <c r="T37" s="196"/>
      <c r="U37" s="196"/>
      <c r="V37" s="196"/>
      <c r="W37" s="219">
        <f>W28+W30+W32</f>
        <v>0</v>
      </c>
      <c r="X37" s="220"/>
    </row>
    <row r="38" spans="3:33" s="197" customFormat="1" ht="12" x14ac:dyDescent="0.2">
      <c r="N38" s="198"/>
      <c r="O38" s="199"/>
      <c r="P38" s="199"/>
      <c r="Q38" s="199"/>
      <c r="R38" s="199"/>
      <c r="S38" s="199"/>
      <c r="U38" s="200"/>
      <c r="V38" s="200"/>
      <c r="W38" s="200"/>
    </row>
    <row r="39" spans="3:33" s="197" customFormat="1" ht="12" x14ac:dyDescent="0.2">
      <c r="N39" s="198"/>
      <c r="O39" s="199"/>
      <c r="P39" s="199"/>
      <c r="Q39" s="199"/>
      <c r="R39" s="199"/>
      <c r="S39" s="199"/>
      <c r="U39" s="200"/>
      <c r="V39" s="200"/>
      <c r="W39" s="200"/>
    </row>
    <row r="40" spans="3:33" s="197" customFormat="1" ht="12" x14ac:dyDescent="0.2">
      <c r="N40" s="198"/>
      <c r="O40" s="199"/>
      <c r="P40" s="199"/>
      <c r="Q40" s="199"/>
      <c r="R40" s="199"/>
      <c r="S40" s="199"/>
      <c r="U40" s="200"/>
      <c r="V40" s="200"/>
      <c r="W40" s="200"/>
    </row>
    <row r="41" spans="3:33" s="197" customFormat="1" ht="12" x14ac:dyDescent="0.2">
      <c r="N41" s="198"/>
      <c r="O41" s="199"/>
      <c r="P41" s="199"/>
      <c r="Q41" s="199"/>
      <c r="R41" s="199"/>
      <c r="S41" s="199"/>
      <c r="U41" s="200"/>
      <c r="V41" s="200"/>
      <c r="W41" s="200"/>
    </row>
    <row r="42" spans="3:33" s="197" customFormat="1" ht="12" x14ac:dyDescent="0.2">
      <c r="N42" s="198"/>
      <c r="O42" s="199"/>
      <c r="P42" s="199"/>
      <c r="Q42" s="199"/>
      <c r="R42" s="199"/>
      <c r="S42" s="199"/>
      <c r="U42" s="200"/>
      <c r="V42" s="200"/>
      <c r="W42" s="200"/>
    </row>
    <row r="43" spans="3:33" s="197" customFormat="1" ht="12" x14ac:dyDescent="0.2">
      <c r="N43" s="198"/>
      <c r="O43" s="199"/>
      <c r="P43" s="199"/>
      <c r="Q43" s="199"/>
      <c r="R43" s="199"/>
      <c r="S43" s="199"/>
      <c r="U43" s="200"/>
      <c r="V43" s="200"/>
      <c r="W43" s="200"/>
    </row>
    <row r="44" spans="3:33" s="197" customFormat="1" ht="12" x14ac:dyDescent="0.2">
      <c r="N44" s="198"/>
      <c r="O44" s="199"/>
      <c r="P44" s="199"/>
      <c r="Q44" s="199"/>
      <c r="R44" s="199"/>
      <c r="S44" s="199"/>
      <c r="U44" s="200"/>
      <c r="V44" s="200"/>
      <c r="W44" s="200"/>
    </row>
    <row r="45" spans="3:33" s="197" customFormat="1" ht="12" x14ac:dyDescent="0.2">
      <c r="N45" s="198"/>
      <c r="O45" s="199"/>
      <c r="P45" s="199"/>
      <c r="Q45" s="199"/>
      <c r="R45" s="199"/>
      <c r="S45" s="199"/>
      <c r="U45" s="200"/>
      <c r="V45" s="200"/>
      <c r="W45" s="200"/>
    </row>
    <row r="46" spans="3:33" s="197" customFormat="1" ht="12" x14ac:dyDescent="0.2">
      <c r="N46" s="198"/>
      <c r="O46" s="199"/>
      <c r="P46" s="199"/>
      <c r="Q46" s="199"/>
      <c r="R46" s="199"/>
      <c r="S46" s="199"/>
      <c r="U46" s="200"/>
      <c r="V46" s="200"/>
      <c r="W46" s="200"/>
    </row>
    <row r="47" spans="3:33" s="197" customFormat="1" ht="12" x14ac:dyDescent="0.2">
      <c r="N47" s="198"/>
      <c r="O47" s="199"/>
      <c r="P47" s="199"/>
      <c r="Q47" s="199"/>
      <c r="R47" s="199"/>
      <c r="S47" s="199"/>
      <c r="U47" s="200"/>
      <c r="V47" s="200"/>
      <c r="W47" s="200"/>
    </row>
    <row r="48" spans="3:33" s="197" customFormat="1" ht="12" x14ac:dyDescent="0.2">
      <c r="N48" s="198"/>
      <c r="O48" s="199"/>
      <c r="P48" s="199"/>
      <c r="Q48" s="199"/>
      <c r="R48" s="199"/>
      <c r="S48" s="199"/>
      <c r="U48" s="200"/>
      <c r="V48" s="200"/>
      <c r="W48" s="200"/>
    </row>
    <row r="49" spans="3:23" s="197" customFormat="1" ht="12" x14ac:dyDescent="0.2">
      <c r="N49" s="198"/>
      <c r="O49" s="199"/>
      <c r="P49" s="199"/>
      <c r="Q49" s="199"/>
      <c r="R49" s="199"/>
      <c r="S49" s="199"/>
      <c r="U49" s="200"/>
      <c r="V49" s="200"/>
      <c r="W49" s="200"/>
    </row>
    <row r="50" spans="3:23" s="197" customFormat="1" ht="12" x14ac:dyDescent="0.2">
      <c r="N50" s="198"/>
      <c r="O50" s="199"/>
      <c r="P50" s="199"/>
      <c r="Q50" s="199"/>
      <c r="R50" s="199"/>
      <c r="S50" s="199"/>
      <c r="U50" s="200"/>
      <c r="V50" s="200"/>
      <c r="W50" s="200"/>
    </row>
    <row r="51" spans="3:23" s="197" customFormat="1" ht="12" x14ac:dyDescent="0.2">
      <c r="N51" s="198"/>
      <c r="O51" s="199"/>
      <c r="P51" s="199"/>
      <c r="Q51" s="199"/>
      <c r="R51" s="199"/>
      <c r="S51" s="199"/>
      <c r="U51" s="200"/>
      <c r="V51" s="200"/>
      <c r="W51" s="200"/>
    </row>
    <row r="52" spans="3:23" s="198" customFormat="1" ht="12" x14ac:dyDescent="0.2">
      <c r="C52" s="197"/>
      <c r="D52" s="197"/>
      <c r="E52" s="197"/>
      <c r="F52" s="197"/>
      <c r="G52" s="197"/>
      <c r="H52" s="197"/>
      <c r="I52" s="197"/>
      <c r="J52" s="197"/>
      <c r="K52" s="197"/>
      <c r="L52" s="197"/>
      <c r="M52" s="197"/>
      <c r="O52" s="199"/>
      <c r="P52" s="199"/>
      <c r="Q52" s="199"/>
      <c r="R52" s="199"/>
      <c r="S52" s="199"/>
      <c r="T52" s="197"/>
      <c r="U52" s="200"/>
      <c r="V52" s="200"/>
      <c r="W52" s="200"/>
    </row>
    <row r="53" spans="3:23" s="198" customFormat="1" ht="12" x14ac:dyDescent="0.2"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O53" s="199"/>
      <c r="P53" s="199"/>
      <c r="Q53" s="199"/>
      <c r="R53" s="199"/>
      <c r="S53" s="199"/>
      <c r="T53" s="197"/>
      <c r="U53" s="200"/>
      <c r="V53" s="200"/>
      <c r="W53" s="200"/>
    </row>
    <row r="54" spans="3:23" s="197" customFormat="1" ht="12" x14ac:dyDescent="0.2">
      <c r="N54" s="198"/>
      <c r="O54" s="199"/>
      <c r="P54" s="199"/>
      <c r="Q54" s="199"/>
      <c r="R54" s="199"/>
      <c r="S54" s="199"/>
      <c r="U54" s="200"/>
      <c r="V54" s="200"/>
      <c r="W54" s="200"/>
    </row>
    <row r="55" spans="3:23" s="197" customFormat="1" ht="12" x14ac:dyDescent="0.2">
      <c r="N55" s="198"/>
      <c r="O55" s="199"/>
      <c r="P55" s="199"/>
      <c r="Q55" s="199"/>
      <c r="R55" s="199"/>
      <c r="S55" s="199"/>
      <c r="U55" s="200"/>
      <c r="V55" s="200"/>
      <c r="W55" s="200"/>
    </row>
    <row r="56" spans="3:23" s="198" customFormat="1" ht="12" x14ac:dyDescent="0.2">
      <c r="C56" s="197"/>
      <c r="D56" s="197"/>
      <c r="E56" s="197"/>
      <c r="F56" s="197"/>
      <c r="G56" s="197"/>
      <c r="H56" s="197"/>
      <c r="I56" s="197"/>
      <c r="J56" s="197"/>
      <c r="K56" s="197"/>
      <c r="L56" s="197"/>
      <c r="M56" s="197"/>
      <c r="O56" s="199"/>
      <c r="P56" s="199"/>
      <c r="Q56" s="199"/>
      <c r="R56" s="199"/>
      <c r="S56" s="199"/>
      <c r="T56" s="197"/>
      <c r="U56" s="200"/>
      <c r="V56" s="200"/>
      <c r="W56" s="200"/>
    </row>
    <row r="57" spans="3:23" s="201" customFormat="1" x14ac:dyDescent="0.2">
      <c r="C57"/>
      <c r="D57"/>
      <c r="E57"/>
      <c r="F57"/>
      <c r="G57"/>
      <c r="H57"/>
      <c r="I57"/>
      <c r="J57"/>
      <c r="K57"/>
      <c r="L57"/>
      <c r="M57"/>
      <c r="O57" s="202"/>
      <c r="P57" s="202"/>
      <c r="Q57" s="202"/>
      <c r="R57" s="202"/>
      <c r="S57" s="202"/>
      <c r="T57"/>
      <c r="U57" s="58"/>
      <c r="V57" s="58"/>
      <c r="W57" s="58"/>
    </row>
  </sheetData>
  <sheetProtection algorithmName="SHA-512" hashValue="76W3r6yDKHhrnpE+wF9DGT2AwsfG33YGUIhrlu/YcWXQPIdZ1CyGQZi3DYrlEpV4Tqf83IO5go56XdEBY7sMcQ==" saltValue="uOrCIeRU4y0yw6eiRQ2jkA==" spinCount="100000" sheet="1" selectLockedCells="1"/>
  <mergeCells count="53">
    <mergeCell ref="AV9:AW9"/>
    <mergeCell ref="F9:G9"/>
    <mergeCell ref="F8:H8"/>
    <mergeCell ref="M35:R35"/>
    <mergeCell ref="AQ9:AU9"/>
    <mergeCell ref="Z9:AA9"/>
    <mergeCell ref="W28:X28"/>
    <mergeCell ref="W30:X30"/>
    <mergeCell ref="W32:X32"/>
    <mergeCell ref="S3:W3"/>
    <mergeCell ref="S5:W5"/>
    <mergeCell ref="O7:R8"/>
    <mergeCell ref="S7:U8"/>
    <mergeCell ref="V7:X8"/>
    <mergeCell ref="M5:R5"/>
    <mergeCell ref="M3:R3"/>
    <mergeCell ref="A21:B21"/>
    <mergeCell ref="AO9:AP9"/>
    <mergeCell ref="A10:B10"/>
    <mergeCell ref="A9:B9"/>
    <mergeCell ref="A1:B1"/>
    <mergeCell ref="L8:M8"/>
    <mergeCell ref="I8:K8"/>
    <mergeCell ref="C8:E8"/>
    <mergeCell ref="C7:N7"/>
    <mergeCell ref="AH9:AJ9"/>
    <mergeCell ref="AK9:AN9"/>
    <mergeCell ref="AB9:AE9"/>
    <mergeCell ref="AF9:AG9"/>
    <mergeCell ref="A11:B11"/>
    <mergeCell ref="V9:W9"/>
    <mergeCell ref="O9:Q9"/>
    <mergeCell ref="W37:X37"/>
    <mergeCell ref="C33:D34"/>
    <mergeCell ref="M32:Q32"/>
    <mergeCell ref="M33:Q33"/>
    <mergeCell ref="M30:R30"/>
    <mergeCell ref="A24:B24"/>
    <mergeCell ref="A25:B25"/>
    <mergeCell ref="E3:J3"/>
    <mergeCell ref="E5:J5"/>
    <mergeCell ref="M28:R28"/>
    <mergeCell ref="A23:B23"/>
    <mergeCell ref="A12:B12"/>
    <mergeCell ref="A13:B13"/>
    <mergeCell ref="A14:B14"/>
    <mergeCell ref="A15:B15"/>
    <mergeCell ref="A16:B16"/>
    <mergeCell ref="A17:B17"/>
    <mergeCell ref="A18:B18"/>
    <mergeCell ref="A22:B22"/>
    <mergeCell ref="A19:B19"/>
    <mergeCell ref="A20:B20"/>
  </mergeCells>
  <conditionalFormatting sqref="A11:B25">
    <cfRule type="expression" dxfId="51" priority="2">
      <formula>A11:B11&lt;&gt;""</formula>
    </cfRule>
  </conditionalFormatting>
  <conditionalFormatting sqref="C11:X25">
    <cfRule type="expression" dxfId="50" priority="4">
      <formula>OR(AND($E11="mehrtägigen",$H11="begann"),AND($E11="mehrtägigen",$H11=""))</formula>
    </cfRule>
  </conditionalFormatting>
  <conditionalFormatting sqref="F11:G25">
    <cfRule type="expression" dxfId="49" priority="1">
      <formula>$E11="mehrtägigen"</formula>
    </cfRule>
  </conditionalFormatting>
  <conditionalFormatting sqref="H11:L25">
    <cfRule type="expression" dxfId="48" priority="37">
      <formula>$AB11=1</formula>
    </cfRule>
  </conditionalFormatting>
  <conditionalFormatting sqref="H26:M26">
    <cfRule type="expression" dxfId="47" priority="99">
      <formula>$AB26=1</formula>
    </cfRule>
  </conditionalFormatting>
  <conditionalFormatting sqref="J30:L30 K31 L32:L35">
    <cfRule type="expression" dxfId="46" priority="93">
      <formula>$AG$5=1</formula>
    </cfRule>
  </conditionalFormatting>
  <conditionalFormatting sqref="K11:K25">
    <cfRule type="expression" dxfId="45" priority="38">
      <formula>AND(AH11=1,J11=C11)</formula>
    </cfRule>
    <cfRule type="expression" dxfId="44" priority="39">
      <formula>AND(AH11=1,J11&lt;&gt;C11,J11&lt;&gt;"",K11="")</formula>
    </cfRule>
    <cfRule type="expression" dxfId="43" priority="40">
      <formula>AND(AK11=1,C11&lt;&gt;J11,J11&lt;&gt;"",K11="")</formula>
    </cfRule>
    <cfRule type="expression" dxfId="42" priority="41">
      <formula>AM11=1</formula>
    </cfRule>
  </conditionalFormatting>
  <conditionalFormatting sqref="K26">
    <cfRule type="expression" dxfId="41" priority="148">
      <formula>AND(AH26=1,J26&lt;&gt;C26,J26&lt;&gt;"",K26="")</formula>
    </cfRule>
    <cfRule type="expression" dxfId="40" priority="149">
      <formula>AND(AK26=1,C26&lt;&gt;J26,J26&lt;&gt;"",K26="")</formula>
    </cfRule>
    <cfRule type="expression" dxfId="39" priority="150">
      <formula>AM26=1</formula>
    </cfRule>
  </conditionalFormatting>
  <conditionalFormatting sqref="L11:L25">
    <cfRule type="expression" dxfId="38" priority="42">
      <formula>AND(AK11=1,J11&lt;&gt;"",K11&lt;&gt;"",C11&lt;&gt;J11,C11&lt;&gt;K11)</formula>
    </cfRule>
    <cfRule type="expression" dxfId="37" priority="43">
      <formula>AND(L11="",OR(AJ11=1,AM11=1,AN11=1))</formula>
    </cfRule>
  </conditionalFormatting>
  <conditionalFormatting sqref="L28">
    <cfRule type="expression" dxfId="36" priority="66">
      <formula>$AG$5=1</formula>
    </cfRule>
  </conditionalFormatting>
  <conditionalFormatting sqref="L26:M26">
    <cfRule type="expression" dxfId="35" priority="177">
      <formula>AND(AK26=1,J26&lt;&gt;"",K26&lt;&gt;"",C26&lt;&gt;J26,C26&lt;&gt;K26)</formula>
    </cfRule>
    <cfRule type="expression" dxfId="34" priority="178">
      <formula>AND(L26="",OR(AJ26=1,AM26=1,AN26=1))</formula>
    </cfRule>
  </conditionalFormatting>
  <conditionalFormatting sqref="M11:M26">
    <cfRule type="expression" dxfId="33" priority="36">
      <formula>AND(E11="mehrtägigen",H11&lt;&gt;"endete")</formula>
    </cfRule>
  </conditionalFormatting>
  <conditionalFormatting sqref="M28:R28 M30:R30 M32:Q33 M35">
    <cfRule type="expression" dxfId="32" priority="108">
      <formula>AND($AG$3=2,$AG$5=1)</formula>
    </cfRule>
  </conditionalFormatting>
  <conditionalFormatting sqref="N11:N26">
    <cfRule type="cellIs" dxfId="31" priority="130" operator="greaterThan">
      <formula>0</formula>
    </cfRule>
  </conditionalFormatting>
  <conditionalFormatting sqref="O11:Q25 S11:T25">
    <cfRule type="expression" dxfId="30" priority="18">
      <formula>$AG$3&lt;&gt;2</formula>
    </cfRule>
  </conditionalFormatting>
  <conditionalFormatting sqref="R11:R25">
    <cfRule type="cellIs" dxfId="29" priority="132" stopIfTrue="1" operator="lessThanOrEqual">
      <formula>0</formula>
    </cfRule>
  </conditionalFormatting>
  <conditionalFormatting sqref="R32:R33">
    <cfRule type="expression" dxfId="28" priority="89">
      <formula>AND($AG$5=1,AB32=3)</formula>
    </cfRule>
  </conditionalFormatting>
  <conditionalFormatting sqref="S5:W5">
    <cfRule type="expression" dxfId="27" priority="44">
      <formula>$AG$3=1</formula>
    </cfRule>
  </conditionalFormatting>
  <conditionalFormatting sqref="T28 T30 T35">
    <cfRule type="expression" dxfId="26" priority="88">
      <formula>AND($AG$5=1,$AB28=3)</formula>
    </cfRule>
  </conditionalFormatting>
  <dataValidations count="13">
    <dataValidation type="list" allowBlank="1" showInputMessage="1" showErrorMessage="1" sqref="N6" xr:uid="{00000000-0002-0000-0000-000001000000}">
      <formula1>Liste_DMII</formula1>
    </dataValidation>
    <dataValidation type="list" allowBlank="1" showInputMessage="1" showErrorMessage="1" sqref="E11:E26 F26:G26" xr:uid="{AAC8B05B-0B39-4044-9FBD-D52010F5DB2D}">
      <formula1>"eintägigen,mehrtägigen"</formula1>
    </dataValidation>
    <dataValidation type="list" allowBlank="1" showInputMessage="1" showErrorMessage="1" sqref="I11:I26" xr:uid="{8D8A9C42-85F9-4B54-B13A-399AAF73EF3B}">
      <formula1>"Flugzeug,Schiff"</formula1>
    </dataValidation>
    <dataValidation type="list" allowBlank="1" showInputMessage="1" showErrorMessage="1" sqref="O11:Q26" xr:uid="{7C1ACC4F-2814-4659-AC3A-ADA1E87A6C14}">
      <formula1>"Ja"</formula1>
    </dataValidation>
    <dataValidation type="list" allowBlank="1" showInputMessage="1" showErrorMessage="1" sqref="I11:I26" xr:uid="{D219582C-963F-4CD8-A524-6372459D25D0}">
      <formula1>"Abreise,Rückkehr"</formula1>
    </dataValidation>
    <dataValidation type="list" allowBlank="1" showInputMessage="1" showErrorMessage="1" sqref="V11:V26" xr:uid="{07FBFD2F-A3C0-4DF2-A265-A1B297061F2B}">
      <formula1>"PKW,sonst. Kfz,Fahrrad"</formula1>
    </dataValidation>
    <dataValidation type="list" allowBlank="1" showInputMessage="1" showErrorMessage="1" sqref="H11:H26" xr:uid="{F79FFCB4-349A-433E-8CD5-146EC94D6AD8}">
      <formula1>"begann,endete"</formula1>
    </dataValidation>
    <dataValidation type="list" allowBlank="1" showInputMessage="1" showErrorMessage="1" sqref="M30" xr:uid="{06F1EE45-D075-4FE9-8C1A-95B7D96656AB}">
      <formula1>"in Höhe der tatsächlichen Aufwendungen,in Höhe der erstattungsfähigen Pauschalen,mit einem individuellen Betrag in Höhe von:"</formula1>
    </dataValidation>
    <dataValidation type="list" allowBlank="1" showInputMessage="1" showErrorMessage="1" sqref="S5:W5" xr:uid="{22C8B394-425D-48BC-A01B-D7DC87923904}">
      <formula1>"Meinen Arbeitgeber,Meine Einkommensteuererklärung"</formula1>
    </dataValidation>
    <dataValidation type="list" allowBlank="1" showInputMessage="1" showErrorMessage="1" sqref="M32:M33" xr:uid="{2A96E1D6-EC40-4216-96CA-623EA2D1EE61}">
      <formula1>"nach dem gesetzlichen km-Satz von:,mit einem km-Satz von:"</formula1>
    </dataValidation>
    <dataValidation type="list" allowBlank="1" showInputMessage="1" showErrorMessage="1" sqref="E5:G5" xr:uid="{6F936BAE-E30D-42C3-9E3A-065FF8BDB160}">
      <formula1>"Unternehmer,Arbeitnehmer"</formula1>
    </dataValidation>
    <dataValidation type="list" allowBlank="1" showInputMessage="1" showErrorMessage="1" sqref="M28:R28" xr:uid="{91F8FA61-3DC4-439B-AA67-8589B68AF77D}">
      <formula1>"in Höhe der gesetzlichen Pauschalen,mit einem individuellen Betrag in Höhe von:"</formula1>
    </dataValidation>
    <dataValidation type="list" allowBlank="1" showInputMessage="1" showErrorMessage="1" sqref="M35" xr:uid="{790D50EF-9E77-4406-AA58-1F66AFA72920}">
      <formula1>"in Höhe der tatsächlichen Aufwendungen,mit einem individuellen Betrag in Höhe von:"</formula1>
    </dataValidation>
  </dataValidations>
  <hyperlinks>
    <hyperlink ref="A10" location="Bearbeitungshinweise!A1" display="Bearbeitungshinweise" xr:uid="{00000000-0004-0000-0000-000000000000}"/>
    <hyperlink ref="A10:B10" location="Beispielabrechnung!A1" display="Beispielabrechnung!A1" xr:uid="{A3F1F6FA-FFA5-4D34-BDAF-3CF62547192C}"/>
  </hyperlinks>
  <pageMargins left="0.78740157480314965" right="0.47244094488188981" top="0.74803149606299213" bottom="0.23622047244094491" header="0.31496062992125984" footer="0.15748031496062992"/>
  <pageSetup paperSize="9" scale="66" fitToHeight="0" orientation="landscape" blackAndWhite="1" r:id="rId1"/>
  <headerFooter alignWithMargins="0">
    <oddHeader>&amp;R&amp;G</oddHeader>
  </headerFooter>
  <legacy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7D8BB67-C4F4-4AAE-9C53-C3F234346929}">
          <x14:formula1>
            <xm:f>Pauschalen!$A$3:$A$241</xm:f>
          </x14:formula1>
          <xm:sqref>L11:M26 S11:S26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76F82-46D2-44A5-A084-75EB2765DA6F}">
  <sheetPr>
    <pageSetUpPr fitToPage="1"/>
  </sheetPr>
  <dimension ref="A1:AX57"/>
  <sheetViews>
    <sheetView showGridLines="0" zoomScale="85" zoomScaleNormal="85" zoomScaleSheetLayoutView="90" zoomScalePageLayoutView="70" workbookViewId="0">
      <selection sqref="A1:B1"/>
    </sheetView>
  </sheetViews>
  <sheetFormatPr baseColWidth="10" defaultRowHeight="12.75" x14ac:dyDescent="0.2"/>
  <cols>
    <col min="1" max="1" width="14.5703125" customWidth="1"/>
    <col min="2" max="2" width="17.42578125" customWidth="1"/>
    <col min="3" max="3" width="6.7109375" customWidth="1"/>
    <col min="4" max="4" width="21.140625" customWidth="1"/>
    <col min="5" max="5" width="11.85546875" customWidth="1"/>
    <col min="6" max="7" width="6.7109375" customWidth="1"/>
    <col min="8" max="8" width="11.7109375" customWidth="1"/>
    <col min="9" max="9" width="11.85546875" customWidth="1"/>
    <col min="10" max="11" width="10.7109375" customWidth="1"/>
    <col min="12" max="13" width="13.28515625" customWidth="1"/>
    <col min="14" max="14" width="6.7109375" style="201" customWidth="1"/>
    <col min="15" max="17" width="3.7109375" style="202" customWidth="1"/>
    <col min="18" max="18" width="6.7109375" style="202" customWidth="1"/>
    <col min="19" max="19" width="13.28515625" style="202" customWidth="1"/>
    <col min="20" max="20" width="10.7109375" customWidth="1"/>
    <col min="21" max="23" width="7.28515625" style="58" customWidth="1"/>
    <col min="24" max="24" width="10.7109375" customWidth="1"/>
    <col min="26" max="44" width="11.42578125" hidden="1" customWidth="1"/>
    <col min="45" max="45" width="13.42578125" hidden="1" customWidth="1"/>
    <col min="46" max="47" width="11.42578125" hidden="1" customWidth="1"/>
    <col min="48" max="48" width="21.85546875" hidden="1" customWidth="1"/>
    <col min="49" max="49" width="43.85546875" hidden="1" customWidth="1"/>
  </cols>
  <sheetData>
    <row r="1" spans="1:50" ht="22.5" customHeight="1" x14ac:dyDescent="0.25">
      <c r="A1" s="232"/>
      <c r="B1" s="232"/>
      <c r="C1" s="51" t="s">
        <v>345</v>
      </c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3"/>
      <c r="Z1" s="54" t="s">
        <v>303</v>
      </c>
      <c r="AG1">
        <f>IF(AND(AG3=1,E3&lt;&gt;"",S3&lt;&gt;""),1,IF(AND(AG3=2,E3&lt;&gt;"",S3&lt;&gt;"",S5&lt;&gt;""),1,0))</f>
        <v>1</v>
      </c>
    </row>
    <row r="2" spans="1:50" ht="5.0999999999999996" customHeight="1" x14ac:dyDescent="0.25">
      <c r="B2" s="55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/>
      <c r="O2"/>
      <c r="P2"/>
      <c r="Q2"/>
      <c r="R2"/>
      <c r="S2"/>
      <c r="X2" s="59"/>
    </row>
    <row r="3" spans="1:50" ht="18.95" customHeight="1" x14ac:dyDescent="0.2">
      <c r="A3" s="68"/>
      <c r="B3" s="61"/>
      <c r="C3" s="62"/>
      <c r="D3" s="63" t="s">
        <v>154</v>
      </c>
      <c r="E3" s="275" t="s">
        <v>323</v>
      </c>
      <c r="F3" s="276"/>
      <c r="G3" s="276"/>
      <c r="H3" s="276"/>
      <c r="I3" s="276"/>
      <c r="J3" s="277"/>
      <c r="K3" s="64"/>
      <c r="L3" s="64"/>
      <c r="M3" s="264" t="s">
        <v>300</v>
      </c>
      <c r="N3" s="264"/>
      <c r="O3" s="264"/>
      <c r="P3" s="264"/>
      <c r="Q3" s="264"/>
      <c r="R3" s="265"/>
      <c r="S3" s="275" t="s">
        <v>343</v>
      </c>
      <c r="T3" s="276"/>
      <c r="U3" s="276"/>
      <c r="V3" s="276"/>
      <c r="W3" s="277"/>
      <c r="X3" s="65"/>
      <c r="Z3" s="54" t="s">
        <v>301</v>
      </c>
      <c r="AG3">
        <f>IF(E5="",0,IF(E5="Unternehmer",1,2))</f>
        <v>2</v>
      </c>
      <c r="AI3" s="66" t="s">
        <v>272</v>
      </c>
      <c r="AO3" s="67" t="s">
        <v>104</v>
      </c>
      <c r="AP3" s="66"/>
    </row>
    <row r="4" spans="1:50" ht="5.0999999999999996" customHeight="1" x14ac:dyDescent="0.2">
      <c r="A4" s="68"/>
      <c r="B4" s="69"/>
      <c r="C4" s="70"/>
      <c r="D4" s="71"/>
      <c r="E4" s="71"/>
      <c r="F4" s="71"/>
      <c r="G4" s="71"/>
      <c r="H4" s="71"/>
      <c r="I4" s="71"/>
      <c r="J4" s="71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3"/>
    </row>
    <row r="5" spans="1:50" ht="18.95" customHeight="1" thickBot="1" x14ac:dyDescent="0.25">
      <c r="A5" s="203"/>
      <c r="B5" s="61"/>
      <c r="C5" s="76"/>
      <c r="D5" s="77" t="s">
        <v>339</v>
      </c>
      <c r="E5" s="278" t="s">
        <v>311</v>
      </c>
      <c r="F5" s="279"/>
      <c r="G5" s="279"/>
      <c r="H5" s="279"/>
      <c r="I5" s="279"/>
      <c r="J5" s="280"/>
      <c r="K5" s="78"/>
      <c r="L5" s="78"/>
      <c r="M5" s="262" t="s">
        <v>338</v>
      </c>
      <c r="N5" s="262"/>
      <c r="O5" s="262"/>
      <c r="P5" s="262"/>
      <c r="Q5" s="262"/>
      <c r="R5" s="263"/>
      <c r="S5" s="278" t="s">
        <v>313</v>
      </c>
      <c r="T5" s="279"/>
      <c r="U5" s="279"/>
      <c r="V5" s="279"/>
      <c r="W5" s="280"/>
      <c r="X5" s="79"/>
      <c r="Z5" s="54" t="s">
        <v>302</v>
      </c>
      <c r="AG5">
        <f>IF(AG3&lt;&gt;2,0,IF(S5="Meinen Arbeitgeber",1,IF(S5="Meine Einkommensteuererklärung",2,0)))</f>
        <v>1</v>
      </c>
      <c r="AI5" s="66" t="s">
        <v>273</v>
      </c>
      <c r="AO5" s="67" t="s">
        <v>77</v>
      </c>
      <c r="AV5" s="80"/>
    </row>
    <row r="6" spans="1:50" ht="5.0999999999999996" customHeight="1" thickBot="1" x14ac:dyDescent="0.25"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81"/>
      <c r="O6" s="82"/>
      <c r="P6" s="83"/>
      <c r="Q6" s="83"/>
      <c r="R6" s="83"/>
      <c r="S6" s="83"/>
    </row>
    <row r="7" spans="1:50" s="86" customFormat="1" ht="18" customHeight="1" x14ac:dyDescent="0.2">
      <c r="A7" s="204"/>
      <c r="B7" s="85"/>
      <c r="C7" s="239" t="s">
        <v>335</v>
      </c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1"/>
      <c r="O7" s="250" t="s">
        <v>263</v>
      </c>
      <c r="P7" s="251"/>
      <c r="Q7" s="251"/>
      <c r="R7" s="251"/>
      <c r="S7" s="254" t="s">
        <v>3</v>
      </c>
      <c r="T7" s="255"/>
      <c r="U7" s="256"/>
      <c r="V7" s="250" t="s">
        <v>266</v>
      </c>
      <c r="W7" s="251"/>
      <c r="X7" s="260"/>
    </row>
    <row r="8" spans="1:50" s="86" customFormat="1" ht="15.75" customHeight="1" thickBot="1" x14ac:dyDescent="0.25">
      <c r="A8" s="87"/>
      <c r="B8" s="87"/>
      <c r="C8" s="236" t="s">
        <v>307</v>
      </c>
      <c r="D8" s="237"/>
      <c r="E8" s="238"/>
      <c r="F8" s="269" t="s">
        <v>290</v>
      </c>
      <c r="G8" s="270"/>
      <c r="H8" s="271"/>
      <c r="I8" s="235" t="s">
        <v>290</v>
      </c>
      <c r="J8" s="235"/>
      <c r="K8" s="235"/>
      <c r="L8" s="233" t="s">
        <v>291</v>
      </c>
      <c r="M8" s="234"/>
      <c r="N8" s="88"/>
      <c r="O8" s="252"/>
      <c r="P8" s="253"/>
      <c r="Q8" s="253"/>
      <c r="R8" s="253"/>
      <c r="S8" s="257"/>
      <c r="T8" s="258"/>
      <c r="U8" s="259"/>
      <c r="V8" s="252"/>
      <c r="W8" s="253"/>
      <c r="X8" s="261"/>
    </row>
    <row r="9" spans="1:50" s="96" customFormat="1" ht="78.75" customHeight="1" x14ac:dyDescent="0.2">
      <c r="A9" s="230"/>
      <c r="B9" s="231"/>
      <c r="C9" s="89" t="s">
        <v>360</v>
      </c>
      <c r="D9" s="90" t="s">
        <v>235</v>
      </c>
      <c r="E9" s="90" t="s">
        <v>244</v>
      </c>
      <c r="F9" s="268" t="s">
        <v>356</v>
      </c>
      <c r="G9" s="246"/>
      <c r="H9" s="90" t="s">
        <v>267</v>
      </c>
      <c r="I9" s="90" t="s">
        <v>286</v>
      </c>
      <c r="J9" s="90" t="s">
        <v>243</v>
      </c>
      <c r="K9" s="90" t="s">
        <v>365</v>
      </c>
      <c r="L9" s="90" t="s">
        <v>269</v>
      </c>
      <c r="M9" s="90" t="s">
        <v>322</v>
      </c>
      <c r="N9" s="91" t="s">
        <v>336</v>
      </c>
      <c r="O9" s="248" t="s">
        <v>299</v>
      </c>
      <c r="P9" s="249"/>
      <c r="Q9" s="249"/>
      <c r="R9" s="92" t="s">
        <v>228</v>
      </c>
      <c r="S9" s="89" t="s">
        <v>298</v>
      </c>
      <c r="T9" s="93" t="s">
        <v>262</v>
      </c>
      <c r="U9" s="94" t="s">
        <v>261</v>
      </c>
      <c r="V9" s="246" t="s">
        <v>337</v>
      </c>
      <c r="W9" s="247"/>
      <c r="X9" s="95" t="s">
        <v>317</v>
      </c>
      <c r="Z9" s="227" t="s">
        <v>306</v>
      </c>
      <c r="AA9" s="227"/>
      <c r="AB9" s="245" t="s">
        <v>229</v>
      </c>
      <c r="AC9" s="245"/>
      <c r="AD9" s="245"/>
      <c r="AE9" s="245"/>
      <c r="AF9" s="245" t="s">
        <v>285</v>
      </c>
      <c r="AG9" s="245"/>
      <c r="AH9" s="242" t="s">
        <v>258</v>
      </c>
      <c r="AI9" s="243"/>
      <c r="AJ9" s="244"/>
      <c r="AK9" s="245" t="s">
        <v>259</v>
      </c>
      <c r="AL9" s="245"/>
      <c r="AM9" s="245"/>
      <c r="AN9" s="245"/>
      <c r="AO9" s="227" t="s">
        <v>287</v>
      </c>
      <c r="AP9" s="227"/>
      <c r="AQ9" s="227" t="s">
        <v>292</v>
      </c>
      <c r="AR9" s="227"/>
      <c r="AS9" s="227"/>
      <c r="AT9" s="227"/>
      <c r="AU9" s="227"/>
      <c r="AV9" s="266" t="s">
        <v>354</v>
      </c>
      <c r="AW9" s="267"/>
    </row>
    <row r="10" spans="1:50" s="86" customFormat="1" ht="49.5" customHeight="1" thickBot="1" x14ac:dyDescent="0.3">
      <c r="A10" s="281" t="s">
        <v>366</v>
      </c>
      <c r="B10" s="281"/>
      <c r="C10" s="97" t="s">
        <v>2</v>
      </c>
      <c r="D10" s="98" t="s">
        <v>153</v>
      </c>
      <c r="E10" s="99" t="s">
        <v>245</v>
      </c>
      <c r="F10" s="99" t="s">
        <v>357</v>
      </c>
      <c r="G10" s="99" t="s">
        <v>358</v>
      </c>
      <c r="H10" s="99" t="s">
        <v>268</v>
      </c>
      <c r="I10" s="99" t="s">
        <v>242</v>
      </c>
      <c r="J10" s="99" t="s">
        <v>2</v>
      </c>
      <c r="K10" s="99" t="s">
        <v>2</v>
      </c>
      <c r="L10" s="99" t="s">
        <v>270</v>
      </c>
      <c r="M10" s="98" t="s">
        <v>270</v>
      </c>
      <c r="N10" s="100" t="s">
        <v>1</v>
      </c>
      <c r="O10" s="101" t="s">
        <v>157</v>
      </c>
      <c r="P10" s="102" t="s">
        <v>159</v>
      </c>
      <c r="Q10" s="102" t="s">
        <v>158</v>
      </c>
      <c r="R10" s="103" t="s">
        <v>1</v>
      </c>
      <c r="S10" s="104" t="s">
        <v>270</v>
      </c>
      <c r="T10" s="105" t="s">
        <v>1</v>
      </c>
      <c r="U10" s="106" t="s">
        <v>1</v>
      </c>
      <c r="V10" s="107" t="s">
        <v>265</v>
      </c>
      <c r="W10" s="98" t="s">
        <v>264</v>
      </c>
      <c r="X10" s="106" t="s">
        <v>1</v>
      </c>
      <c r="Z10" s="108" t="s">
        <v>304</v>
      </c>
      <c r="AA10" s="108" t="s">
        <v>305</v>
      </c>
      <c r="AB10" s="108" t="s">
        <v>280</v>
      </c>
      <c r="AC10" s="108" t="s">
        <v>359</v>
      </c>
      <c r="AD10" s="109" t="s">
        <v>364</v>
      </c>
      <c r="AE10" s="108" t="s">
        <v>274</v>
      </c>
      <c r="AF10" s="108" t="s">
        <v>281</v>
      </c>
      <c r="AG10" s="108" t="s">
        <v>274</v>
      </c>
      <c r="AH10" s="108" t="s">
        <v>271</v>
      </c>
      <c r="AI10" s="108" t="s">
        <v>274</v>
      </c>
      <c r="AJ10" s="109" t="s">
        <v>275</v>
      </c>
      <c r="AK10" s="108" t="s">
        <v>276</v>
      </c>
      <c r="AL10" s="108" t="s">
        <v>274</v>
      </c>
      <c r="AM10" s="109" t="s">
        <v>278</v>
      </c>
      <c r="AN10" s="109" t="s">
        <v>279</v>
      </c>
      <c r="AO10" s="108" t="s">
        <v>288</v>
      </c>
      <c r="AP10" s="108" t="s">
        <v>289</v>
      </c>
      <c r="AQ10" s="108" t="s">
        <v>293</v>
      </c>
      <c r="AR10" s="108" t="s">
        <v>294</v>
      </c>
      <c r="AS10" s="108" t="s">
        <v>296</v>
      </c>
      <c r="AT10" s="108" t="s">
        <v>295</v>
      </c>
      <c r="AU10" s="108" t="s">
        <v>297</v>
      </c>
      <c r="AV10" s="109" t="s">
        <v>353</v>
      </c>
      <c r="AW10" s="109" t="s">
        <v>355</v>
      </c>
    </row>
    <row r="11" spans="1:50" s="122" customFormat="1" ht="28.5" customHeight="1" thickBot="1" x14ac:dyDescent="0.25">
      <c r="A11" s="211" t="str">
        <f>IF(AJ11=1,$AW$12,IF(AM11=1,$AW$13,IF(AN11=1,$AW$14,IF(AD11=1,$AW$11,""))))</f>
        <v/>
      </c>
      <c r="B11" s="211"/>
      <c r="C11" s="110">
        <v>45307</v>
      </c>
      <c r="D11" s="111" t="s">
        <v>340</v>
      </c>
      <c r="E11" s="111" t="s">
        <v>260</v>
      </c>
      <c r="F11" s="112">
        <v>0.3125</v>
      </c>
      <c r="G11" s="112">
        <v>0.71875</v>
      </c>
      <c r="H11" s="111"/>
      <c r="I11" s="111"/>
      <c r="J11" s="113"/>
      <c r="K11" s="113"/>
      <c r="L11" s="114"/>
      <c r="M11" s="114" t="s">
        <v>139</v>
      </c>
      <c r="N11" s="115">
        <f>IF(OR($AG$1=0,Z11=0,AA11=0),"",VLOOKUP(AO11,VMA[#All],Beispielabrechnung!AP11,FALSE))</f>
        <v>21</v>
      </c>
      <c r="O11" s="112"/>
      <c r="P11" s="112" t="s">
        <v>231</v>
      </c>
      <c r="Q11" s="112"/>
      <c r="R11" s="116">
        <f t="shared" ref="R11:R25" si="0">IF($AG$1=0,"",IF(AND($AG$3=2,N11&lt;&gt;""),N11-(AQ11*AU11),""))</f>
        <v>8.1999999999999993</v>
      </c>
      <c r="S11" s="114"/>
      <c r="T11" s="117"/>
      <c r="U11" s="118" t="str">
        <f>IF(OR($AG$1=0,$AG$3&lt;&gt;2,$AG$5&lt;&gt;1),"",IF(S11&lt;&gt;"",VLOOKUP(S11,Pauschalen!$A$1:$D$244,4,FALSE),""))</f>
        <v/>
      </c>
      <c r="V11" s="119" t="s">
        <v>333</v>
      </c>
      <c r="W11" s="120">
        <v>151</v>
      </c>
      <c r="X11" s="121">
        <v>6.5</v>
      </c>
      <c r="Z11" s="96">
        <f t="shared" ref="Z11:Z23" si="1">IF(OR(C11="",D11="",E11=""),0,1)</f>
        <v>1</v>
      </c>
      <c r="AA11" s="96">
        <f t="shared" ref="AA11:AA23" si="2">IF(OR(AND(AK11=1,J11&lt;&gt;"",K11&lt;&gt;"",C11&lt;&gt;J11,C11&lt;&gt;K11),AND(E11="Mehrtägigen",L11&lt;&gt;"")),1,IF(AND(E11="eintägigen",M11&lt;&gt;""),1,0))</f>
        <v>1</v>
      </c>
      <c r="AB11" s="96">
        <f t="shared" ref="AB11:AB23" si="3">IF(E11="eintägigen",1,0)</f>
        <v>1</v>
      </c>
      <c r="AC11" s="123">
        <f>G11-F11</f>
        <v>0.40625</v>
      </c>
      <c r="AD11" s="96">
        <f>IF(OR(IFERROR(AC11,1)=1,DAY(G11)-DAY(F11)&gt;0),1,0)</f>
        <v>0</v>
      </c>
      <c r="AE11" s="96" t="str">
        <f>IF(AB11=1,M11,0)</f>
        <v>Tschechische Republik</v>
      </c>
      <c r="AF11" s="96">
        <f t="shared" ref="AF11:AF23" si="4">IF(AND(E11="mehrtägigen",AH11=0,AK11=0),1,0)</f>
        <v>0</v>
      </c>
      <c r="AG11" s="96">
        <f t="shared" ref="AG11:AG23" si="5">IF(AF11=1,IF(H11&lt;&gt;"endete",L11,IF(M11="",L11,M11)),0)</f>
        <v>0</v>
      </c>
      <c r="AH11" s="96">
        <f t="shared" ref="AH11:AH23" si="6">IF(I11="Flugzeug",1,0)</f>
        <v>0</v>
      </c>
      <c r="AI11" s="96">
        <f t="shared" ref="AI11:AI23" si="7">IF(AH11=1,IF(AND(H11="endete",M11&lt;&gt;""),M11,IF(J11=C11,L11,IF(AND(J11&lt;&gt;C11,K11=C11),L11,IF(AND(C11&lt;&gt;J11,C11&lt;&gt;K11,J11&lt;&gt;"",K11&lt;&gt;""),$AO$3,0)))),0)</f>
        <v>0</v>
      </c>
      <c r="AJ11" s="96">
        <f t="shared" ref="AJ11:AJ23" si="8">IF(AND(AH11=1,C11&lt;&gt;J11,C11=K11,L11=""),1,0)</f>
        <v>0</v>
      </c>
      <c r="AK11" s="96">
        <f t="shared" ref="AK11:AK23" si="9">IF(I11="Schiff",1,0)</f>
        <v>0</v>
      </c>
      <c r="AL11" s="96">
        <f t="shared" ref="AL11:AL23" si="10">IF(AK11=1,IF(C11=J11,L11,IF(C11=K11,L11,IF(AND(C11&lt;&gt;J11,C11&lt;&gt;K11,J11&lt;&gt;"",K11&lt;&gt;""),$AO$5,0))),0)</f>
        <v>0</v>
      </c>
      <c r="AM11" s="96">
        <f t="shared" ref="AM11:AM23" si="11">IF(AND(AK11=1,C11=J11,L11=""),1,0)</f>
        <v>0</v>
      </c>
      <c r="AN11" s="96">
        <f t="shared" ref="AN11:AN23" si="12">IF(AND(AK11=1,C11=K11,L11=""),1,0)</f>
        <v>0</v>
      </c>
      <c r="AO11" s="96" t="str">
        <f>IF(AB11=1,AE11,IF(AF11=1,AG11,IF(AH11=1,AI11,IF(AK11=1,AL11,0))))</f>
        <v>Tschechische Republik</v>
      </c>
      <c r="AP11" s="96">
        <f>IF(AND(E11="mehrtägigen",H11=""),2,IF(OR(AND(E11="mehrtägigen",H11&lt;&gt;""),AND(E11="eintägigen",AC11&gt;TIME(8,,),AD11=0)),3,5))</f>
        <v>3</v>
      </c>
      <c r="AQ11" s="96">
        <f>VLOOKUP(AO11,Pauschalen!$A$1:$D$244,2,FALSE)</f>
        <v>32</v>
      </c>
      <c r="AR11" s="96">
        <f t="shared" ref="AR11:AR23" si="13">IF(O11&lt;&gt;"",0.2,0)</f>
        <v>0</v>
      </c>
      <c r="AS11" s="96">
        <f t="shared" ref="AS11:AT23" si="14">IF(P11&lt;&gt;"",0.4,0)</f>
        <v>0.4</v>
      </c>
      <c r="AT11" s="96">
        <f t="shared" si="14"/>
        <v>0</v>
      </c>
      <c r="AU11" s="96">
        <f>SUM(AR11:AT11)</f>
        <v>0.4</v>
      </c>
      <c r="AV11" s="124" t="s">
        <v>361</v>
      </c>
      <c r="AW11" s="125" t="s">
        <v>363</v>
      </c>
      <c r="AX11"/>
    </row>
    <row r="12" spans="1:50" s="122" customFormat="1" ht="28.5" customHeight="1" thickBot="1" x14ac:dyDescent="0.25">
      <c r="A12" s="283" t="s">
        <v>368</v>
      </c>
      <c r="B12" s="284"/>
      <c r="C12" s="110">
        <v>45314</v>
      </c>
      <c r="D12" s="111" t="s">
        <v>324</v>
      </c>
      <c r="E12" s="111" t="s">
        <v>246</v>
      </c>
      <c r="F12" s="112"/>
      <c r="G12" s="112"/>
      <c r="H12" s="111" t="s">
        <v>277</v>
      </c>
      <c r="I12" s="111"/>
      <c r="J12" s="113"/>
      <c r="K12" s="113"/>
      <c r="L12" s="114" t="s">
        <v>152</v>
      </c>
      <c r="M12" s="114"/>
      <c r="N12" s="115">
        <f>IF(OR($AG$1=0,Z12=0,AA12=0),"",VLOOKUP(AO12,VMA[#All],Beispielabrechnung!AP12,FALSE))</f>
        <v>14</v>
      </c>
      <c r="O12" s="112"/>
      <c r="P12" s="112"/>
      <c r="Q12" s="112"/>
      <c r="R12" s="116">
        <f t="shared" si="0"/>
        <v>14</v>
      </c>
      <c r="S12" s="114"/>
      <c r="T12" s="117"/>
      <c r="U12" s="118" t="str">
        <f>IF(OR($AG$1=0,$AG$3&lt;&gt;2,$AG$5&lt;&gt;1),"",IF(S12&lt;&gt;"",VLOOKUP(S12,Pauschalen!$A$1:$D$244,4,FALSE),""))</f>
        <v/>
      </c>
      <c r="V12" s="119"/>
      <c r="W12" s="126"/>
      <c r="X12" s="121">
        <v>113</v>
      </c>
      <c r="Z12" s="96">
        <f t="shared" si="1"/>
        <v>1</v>
      </c>
      <c r="AA12" s="96">
        <f t="shared" si="2"/>
        <v>1</v>
      </c>
      <c r="AB12" s="96">
        <f t="shared" si="3"/>
        <v>0</v>
      </c>
      <c r="AC12" s="123">
        <f t="shared" ref="AC12:AC25" si="15">G12-F12</f>
        <v>0</v>
      </c>
      <c r="AD12" s="96">
        <f t="shared" ref="AD12:AD25" si="16">IF(OR(IFERROR(AC12,1)=1,DAY(G12)-DAY(F12)&gt;0),1,0)</f>
        <v>0</v>
      </c>
      <c r="AE12" s="96">
        <f t="shared" ref="AE12:AE23" si="17">IF(AB12=1,M12,0)</f>
        <v>0</v>
      </c>
      <c r="AF12" s="96">
        <f t="shared" si="4"/>
        <v>1</v>
      </c>
      <c r="AG12" s="96" t="str">
        <f t="shared" si="5"/>
        <v>Deutschland</v>
      </c>
      <c r="AH12" s="96">
        <f t="shared" si="6"/>
        <v>0</v>
      </c>
      <c r="AI12" s="96">
        <f t="shared" si="7"/>
        <v>0</v>
      </c>
      <c r="AJ12" s="96">
        <f t="shared" si="8"/>
        <v>0</v>
      </c>
      <c r="AK12" s="96">
        <f t="shared" si="9"/>
        <v>0</v>
      </c>
      <c r="AL12" s="96">
        <f t="shared" si="10"/>
        <v>0</v>
      </c>
      <c r="AM12" s="96">
        <f t="shared" si="11"/>
        <v>0</v>
      </c>
      <c r="AN12" s="96">
        <f t="shared" si="12"/>
        <v>0</v>
      </c>
      <c r="AO12" s="96" t="str">
        <f t="shared" ref="AO12:AO13" si="18">IF(AB12=1,AE12,IF(AF12=1,AG12,IF(AH12=1,AI12,IF(AK12=1,AL12,0))))</f>
        <v>Deutschland</v>
      </c>
      <c r="AP12" s="96">
        <f t="shared" ref="AP12:AP25" si="19">IF(AND(E12="mehrtägigen",H12=""),2,IF(OR(AND(E12="mehrtägigen",H12&lt;&gt;""),AND(E12="eintägigen",AC12&gt;TIME(8,,),AD12=0)),3,5))</f>
        <v>3</v>
      </c>
      <c r="AQ12" s="96">
        <f>VLOOKUP(AO12,Pauschalen!$A$1:$D$244,2,FALSE)</f>
        <v>28</v>
      </c>
      <c r="AR12" s="96">
        <f t="shared" si="13"/>
        <v>0</v>
      </c>
      <c r="AS12" s="96">
        <f t="shared" si="14"/>
        <v>0</v>
      </c>
      <c r="AT12" s="96">
        <f t="shared" si="14"/>
        <v>0</v>
      </c>
      <c r="AU12" s="96">
        <f t="shared" ref="AU12:AU25" si="20">SUM(AR12:AT12)</f>
        <v>0</v>
      </c>
      <c r="AV12" s="127" t="s">
        <v>258</v>
      </c>
      <c r="AW12" s="128" t="s">
        <v>310</v>
      </c>
      <c r="AX12"/>
    </row>
    <row r="13" spans="1:50" s="122" customFormat="1" ht="28.5" customHeight="1" thickBot="1" x14ac:dyDescent="0.25">
      <c r="A13" s="283"/>
      <c r="B13" s="284"/>
      <c r="C13" s="110">
        <v>45315</v>
      </c>
      <c r="D13" s="111" t="s">
        <v>324</v>
      </c>
      <c r="E13" s="111" t="s">
        <v>246</v>
      </c>
      <c r="F13" s="112"/>
      <c r="G13" s="112"/>
      <c r="H13" s="111"/>
      <c r="I13" s="111" t="s">
        <v>259</v>
      </c>
      <c r="J13" s="113">
        <v>45316</v>
      </c>
      <c r="K13" s="129">
        <v>45315</v>
      </c>
      <c r="L13" s="114" t="s">
        <v>152</v>
      </c>
      <c r="M13" s="130"/>
      <c r="N13" s="115">
        <f>IF(OR($AG$1=0,Z13=0,AA13=0),"",VLOOKUP(AO13,VMA[#All],Beispielabrechnung!AP13,FALSE))</f>
        <v>28</v>
      </c>
      <c r="O13" s="131" t="s">
        <v>231</v>
      </c>
      <c r="P13" s="131"/>
      <c r="Q13" s="131"/>
      <c r="R13" s="116">
        <f t="shared" si="0"/>
        <v>22.4</v>
      </c>
      <c r="S13" s="114"/>
      <c r="T13" s="132"/>
      <c r="U13" s="118" t="str">
        <f>IF(OR($AG$1=0,$AG$3&lt;&gt;2,$AG$5&lt;&gt;1),"",IF(S13&lt;&gt;"",VLOOKUP(S13,Pauschalen!$A$1:$D$244,4,FALSE),""))</f>
        <v/>
      </c>
      <c r="V13" s="133"/>
      <c r="W13" s="134"/>
      <c r="X13" s="135">
        <v>365</v>
      </c>
      <c r="Z13" s="96">
        <f t="shared" si="1"/>
        <v>1</v>
      </c>
      <c r="AA13" s="96">
        <f t="shared" si="2"/>
        <v>1</v>
      </c>
      <c r="AB13" s="96">
        <f t="shared" si="3"/>
        <v>0</v>
      </c>
      <c r="AC13" s="123">
        <f t="shared" si="15"/>
        <v>0</v>
      </c>
      <c r="AD13" s="96">
        <f t="shared" si="16"/>
        <v>0</v>
      </c>
      <c r="AE13" s="96">
        <f t="shared" si="17"/>
        <v>0</v>
      </c>
      <c r="AF13" s="96">
        <f t="shared" si="4"/>
        <v>0</v>
      </c>
      <c r="AG13" s="96">
        <f t="shared" si="5"/>
        <v>0</v>
      </c>
      <c r="AH13" s="96">
        <f t="shared" si="6"/>
        <v>0</v>
      </c>
      <c r="AI13" s="96">
        <f t="shared" si="7"/>
        <v>0</v>
      </c>
      <c r="AJ13" s="96">
        <f t="shared" si="8"/>
        <v>0</v>
      </c>
      <c r="AK13" s="96">
        <f t="shared" si="9"/>
        <v>1</v>
      </c>
      <c r="AL13" s="96" t="str">
        <f t="shared" si="10"/>
        <v>Deutschland</v>
      </c>
      <c r="AM13" s="96">
        <f t="shared" si="11"/>
        <v>0</v>
      </c>
      <c r="AN13" s="96">
        <f t="shared" si="12"/>
        <v>0</v>
      </c>
      <c r="AO13" s="96" t="str">
        <f t="shared" si="18"/>
        <v>Deutschland</v>
      </c>
      <c r="AP13" s="96">
        <f t="shared" si="19"/>
        <v>2</v>
      </c>
      <c r="AQ13" s="96">
        <f>VLOOKUP(AO13,Pauschalen!$A$1:$D$244,2,FALSE)</f>
        <v>28</v>
      </c>
      <c r="AR13" s="96">
        <f t="shared" si="13"/>
        <v>0.2</v>
      </c>
      <c r="AS13" s="96">
        <f t="shared" si="14"/>
        <v>0</v>
      </c>
      <c r="AT13" s="96">
        <f t="shared" si="14"/>
        <v>0</v>
      </c>
      <c r="AU13" s="96">
        <f t="shared" si="20"/>
        <v>0.2</v>
      </c>
      <c r="AV13" s="127" t="s">
        <v>351</v>
      </c>
      <c r="AW13" s="128" t="s">
        <v>308</v>
      </c>
      <c r="AX13" s="86"/>
    </row>
    <row r="14" spans="1:50" s="122" customFormat="1" ht="28.5" customHeight="1" thickBot="1" x14ac:dyDescent="0.25">
      <c r="A14" s="211" t="str">
        <f t="shared" ref="A14:A19" si="21">IF(AJ14=1,$AW$12,IF(AM14=1,$AW$13,IF(AN14=1,$AW$14,IF(AD14=1,$AW$11,""))))</f>
        <v/>
      </c>
      <c r="B14" s="211"/>
      <c r="C14" s="110">
        <v>45316</v>
      </c>
      <c r="D14" s="111" t="s">
        <v>324</v>
      </c>
      <c r="E14" s="111" t="s">
        <v>246</v>
      </c>
      <c r="F14" s="112"/>
      <c r="G14" s="112"/>
      <c r="H14" s="111"/>
      <c r="I14" s="111" t="s">
        <v>259</v>
      </c>
      <c r="J14" s="113">
        <v>45316</v>
      </c>
      <c r="K14" s="113"/>
      <c r="L14" s="114" t="s">
        <v>38</v>
      </c>
      <c r="M14" s="114"/>
      <c r="N14" s="115">
        <f>IF(OR($AG$1=0,Z14=0,AA14=0),"",VLOOKUP(AO14,VMA[#All],Beispielabrechnung!AP14,FALSE))</f>
        <v>54</v>
      </c>
      <c r="O14" s="131" t="s">
        <v>231</v>
      </c>
      <c r="P14" s="131"/>
      <c r="Q14" s="112"/>
      <c r="R14" s="116">
        <f t="shared" si="0"/>
        <v>43.2</v>
      </c>
      <c r="S14" s="114"/>
      <c r="T14" s="117"/>
      <c r="U14" s="118" t="str">
        <f>IF(OR($AG$1=0,$AG$3&lt;&gt;2,$AG$5&lt;&gt;1),"",IF(S14&lt;&gt;"",VLOOKUP(S14,Pauschalen!$A$1:$D$244,4,FALSE),""))</f>
        <v/>
      </c>
      <c r="V14" s="119"/>
      <c r="W14" s="120"/>
      <c r="X14" s="121">
        <v>25</v>
      </c>
      <c r="Z14" s="96">
        <f t="shared" si="1"/>
        <v>1</v>
      </c>
      <c r="AA14" s="96">
        <f t="shared" si="2"/>
        <v>1</v>
      </c>
      <c r="AB14" s="96">
        <f t="shared" si="3"/>
        <v>0</v>
      </c>
      <c r="AC14" s="123">
        <f t="shared" si="15"/>
        <v>0</v>
      </c>
      <c r="AD14" s="96">
        <f t="shared" si="16"/>
        <v>0</v>
      </c>
      <c r="AE14" s="96">
        <f t="shared" si="17"/>
        <v>0</v>
      </c>
      <c r="AF14" s="96">
        <f t="shared" si="4"/>
        <v>0</v>
      </c>
      <c r="AG14" s="96">
        <f t="shared" si="5"/>
        <v>0</v>
      </c>
      <c r="AH14" s="96">
        <f t="shared" si="6"/>
        <v>0</v>
      </c>
      <c r="AI14" s="96">
        <f t="shared" si="7"/>
        <v>0</v>
      </c>
      <c r="AJ14" s="96">
        <f t="shared" si="8"/>
        <v>0</v>
      </c>
      <c r="AK14" s="96">
        <f t="shared" si="9"/>
        <v>1</v>
      </c>
      <c r="AL14" s="96" t="str">
        <f t="shared" si="10"/>
        <v>Finnland</v>
      </c>
      <c r="AM14" s="96">
        <f t="shared" si="11"/>
        <v>0</v>
      </c>
      <c r="AN14" s="96">
        <f t="shared" si="12"/>
        <v>0</v>
      </c>
      <c r="AO14" s="96" t="str">
        <f>IF(AB14=1,AE14,IF(AF14=1,AG14,IF(AH14=1,AI14,IF(AK14=1,AL14,0))))</f>
        <v>Finnland</v>
      </c>
      <c r="AP14" s="96">
        <f t="shared" si="19"/>
        <v>2</v>
      </c>
      <c r="AQ14" s="96">
        <f>VLOOKUP(AO14,Pauschalen!$A$1:$D$244,2,FALSE)</f>
        <v>54</v>
      </c>
      <c r="AR14" s="96">
        <f t="shared" si="13"/>
        <v>0.2</v>
      </c>
      <c r="AS14" s="96">
        <f t="shared" si="14"/>
        <v>0</v>
      </c>
      <c r="AT14" s="96">
        <f t="shared" si="14"/>
        <v>0</v>
      </c>
      <c r="AU14" s="96">
        <f t="shared" si="20"/>
        <v>0.2</v>
      </c>
      <c r="AV14" s="127" t="s">
        <v>352</v>
      </c>
      <c r="AW14" s="128" t="s">
        <v>309</v>
      </c>
    </row>
    <row r="15" spans="1:50" s="122" customFormat="1" ht="28.5" customHeight="1" thickBot="1" x14ac:dyDescent="0.25">
      <c r="A15" s="211" t="str">
        <f t="shared" si="21"/>
        <v/>
      </c>
      <c r="B15" s="211"/>
      <c r="C15" s="110">
        <v>45317</v>
      </c>
      <c r="D15" s="111" t="s">
        <v>324</v>
      </c>
      <c r="E15" s="111" t="s">
        <v>246</v>
      </c>
      <c r="F15" s="112"/>
      <c r="G15" s="112"/>
      <c r="H15" s="111"/>
      <c r="I15" s="111"/>
      <c r="J15" s="113"/>
      <c r="K15" s="129"/>
      <c r="L15" s="114" t="s">
        <v>38</v>
      </c>
      <c r="M15" s="130"/>
      <c r="N15" s="115">
        <f>IF(OR($AG$1=0,Z15=0,AA15=0),"",VLOOKUP(AO15,VMA[#All],Beispielabrechnung!AP15,FALSE))</f>
        <v>54</v>
      </c>
      <c r="O15" s="131" t="s">
        <v>231</v>
      </c>
      <c r="P15" s="131"/>
      <c r="Q15" s="131"/>
      <c r="R15" s="116">
        <f t="shared" si="0"/>
        <v>43.2</v>
      </c>
      <c r="S15" s="114"/>
      <c r="T15" s="132"/>
      <c r="U15" s="118" t="str">
        <f>IF(OR($AG$1=0,$AG$3&lt;&gt;2,$AG$5&lt;&gt;1),"",IF(S15&lt;&gt;"",VLOOKUP(S15,Pauschalen!$A$1:$D$244,4,FALSE),""))</f>
        <v/>
      </c>
      <c r="V15" s="133"/>
      <c r="W15" s="134"/>
      <c r="X15" s="135">
        <v>31</v>
      </c>
      <c r="Z15" s="96">
        <f t="shared" si="1"/>
        <v>1</v>
      </c>
      <c r="AA15" s="96">
        <f t="shared" si="2"/>
        <v>1</v>
      </c>
      <c r="AB15" s="96">
        <f t="shared" si="3"/>
        <v>0</v>
      </c>
      <c r="AC15" s="123">
        <f t="shared" si="15"/>
        <v>0</v>
      </c>
      <c r="AD15" s="96">
        <f t="shared" si="16"/>
        <v>0</v>
      </c>
      <c r="AE15" s="96">
        <f t="shared" si="17"/>
        <v>0</v>
      </c>
      <c r="AF15" s="96">
        <f t="shared" si="4"/>
        <v>1</v>
      </c>
      <c r="AG15" s="96" t="str">
        <f t="shared" si="5"/>
        <v>Finnland</v>
      </c>
      <c r="AH15" s="96">
        <f t="shared" si="6"/>
        <v>0</v>
      </c>
      <c r="AI15" s="96">
        <f t="shared" si="7"/>
        <v>0</v>
      </c>
      <c r="AJ15" s="96">
        <f t="shared" si="8"/>
        <v>0</v>
      </c>
      <c r="AK15" s="96">
        <f t="shared" si="9"/>
        <v>0</v>
      </c>
      <c r="AL15" s="96">
        <f t="shared" si="10"/>
        <v>0</v>
      </c>
      <c r="AM15" s="96">
        <f t="shared" si="11"/>
        <v>0</v>
      </c>
      <c r="AN15" s="96">
        <f t="shared" si="12"/>
        <v>0</v>
      </c>
      <c r="AO15" s="96" t="str">
        <f t="shared" ref="AO15:AO25" si="22">IF(AB15=1,AE15,IF(AF15=1,AG15,IF(AH15=1,AI15,IF(AK15=1,AL15,0))))</f>
        <v>Finnland</v>
      </c>
      <c r="AP15" s="96">
        <f t="shared" si="19"/>
        <v>2</v>
      </c>
      <c r="AQ15" s="96">
        <f>VLOOKUP(AO15,Pauschalen!$A$1:$D$244,2,FALSE)</f>
        <v>54</v>
      </c>
      <c r="AR15" s="96">
        <f t="shared" si="13"/>
        <v>0.2</v>
      </c>
      <c r="AS15" s="96">
        <f t="shared" si="14"/>
        <v>0</v>
      </c>
      <c r="AT15" s="96">
        <f t="shared" si="14"/>
        <v>0</v>
      </c>
      <c r="AU15" s="96">
        <f t="shared" si="20"/>
        <v>0.2</v>
      </c>
    </row>
    <row r="16" spans="1:50" s="122" customFormat="1" ht="28.5" customHeight="1" thickBot="1" x14ac:dyDescent="0.25">
      <c r="A16" s="211" t="str">
        <f t="shared" si="21"/>
        <v/>
      </c>
      <c r="B16" s="211"/>
      <c r="C16" s="110">
        <v>45318</v>
      </c>
      <c r="D16" s="111" t="s">
        <v>324</v>
      </c>
      <c r="E16" s="111" t="s">
        <v>246</v>
      </c>
      <c r="F16" s="112"/>
      <c r="G16" s="112"/>
      <c r="H16" s="111" t="s">
        <v>284</v>
      </c>
      <c r="I16" s="111" t="s">
        <v>258</v>
      </c>
      <c r="J16" s="113">
        <v>45318</v>
      </c>
      <c r="K16" s="113"/>
      <c r="L16" s="114" t="s">
        <v>152</v>
      </c>
      <c r="M16" s="114" t="s">
        <v>38</v>
      </c>
      <c r="N16" s="115">
        <f>IF(OR($AG$1=0,Z16=0,AA16=0),"",VLOOKUP(AO16,VMA[#All],Beispielabrechnung!AP16,FALSE))</f>
        <v>36</v>
      </c>
      <c r="O16" s="131" t="s">
        <v>231</v>
      </c>
      <c r="P16" s="131"/>
      <c r="Q16" s="112"/>
      <c r="R16" s="116">
        <f t="shared" si="0"/>
        <v>25.2</v>
      </c>
      <c r="S16" s="114"/>
      <c r="T16" s="117"/>
      <c r="U16" s="118" t="str">
        <f>IF(OR($AG$1=0,$AG$3&lt;&gt;2,$AG$5&lt;&gt;1),"",IF(S16&lt;&gt;"",VLOOKUP(S16,Pauschalen!$A$1:$D$244,4,FALSE),""))</f>
        <v/>
      </c>
      <c r="V16" s="119"/>
      <c r="W16" s="120"/>
      <c r="X16" s="121">
        <v>16</v>
      </c>
      <c r="Z16" s="96">
        <f t="shared" si="1"/>
        <v>1</v>
      </c>
      <c r="AA16" s="96">
        <f t="shared" si="2"/>
        <v>1</v>
      </c>
      <c r="AB16" s="96">
        <f t="shared" si="3"/>
        <v>0</v>
      </c>
      <c r="AC16" s="123">
        <f t="shared" si="15"/>
        <v>0</v>
      </c>
      <c r="AD16" s="96">
        <f t="shared" si="16"/>
        <v>0</v>
      </c>
      <c r="AE16" s="96">
        <f t="shared" si="17"/>
        <v>0</v>
      </c>
      <c r="AF16" s="96">
        <f t="shared" si="4"/>
        <v>0</v>
      </c>
      <c r="AG16" s="96">
        <f t="shared" si="5"/>
        <v>0</v>
      </c>
      <c r="AH16" s="96">
        <f t="shared" si="6"/>
        <v>1</v>
      </c>
      <c r="AI16" s="96" t="str">
        <f t="shared" si="7"/>
        <v>Finnland</v>
      </c>
      <c r="AJ16" s="96">
        <f t="shared" si="8"/>
        <v>0</v>
      </c>
      <c r="AK16" s="96">
        <f t="shared" si="9"/>
        <v>0</v>
      </c>
      <c r="AL16" s="96">
        <f t="shared" si="10"/>
        <v>0</v>
      </c>
      <c r="AM16" s="96">
        <f t="shared" si="11"/>
        <v>0</v>
      </c>
      <c r="AN16" s="96">
        <f t="shared" si="12"/>
        <v>0</v>
      </c>
      <c r="AO16" s="96" t="str">
        <f t="shared" si="22"/>
        <v>Finnland</v>
      </c>
      <c r="AP16" s="96">
        <f t="shared" si="19"/>
        <v>3</v>
      </c>
      <c r="AQ16" s="96">
        <f>VLOOKUP(AO16,Pauschalen!$A$1:$D$244,2,FALSE)</f>
        <v>54</v>
      </c>
      <c r="AR16" s="96">
        <f t="shared" si="13"/>
        <v>0.2</v>
      </c>
      <c r="AS16" s="96">
        <f t="shared" si="14"/>
        <v>0</v>
      </c>
      <c r="AT16" s="96">
        <f t="shared" si="14"/>
        <v>0</v>
      </c>
      <c r="AU16" s="96">
        <f t="shared" si="20"/>
        <v>0.2</v>
      </c>
    </row>
    <row r="17" spans="1:47" s="122" customFormat="1" ht="28.5" customHeight="1" thickBot="1" x14ac:dyDescent="0.25">
      <c r="A17" s="211" t="str">
        <f t="shared" si="21"/>
        <v/>
      </c>
      <c r="B17" s="211"/>
      <c r="C17" s="110">
        <v>45342</v>
      </c>
      <c r="D17" s="111" t="s">
        <v>329</v>
      </c>
      <c r="E17" s="111" t="s">
        <v>246</v>
      </c>
      <c r="F17" s="112"/>
      <c r="G17" s="112"/>
      <c r="H17" s="111" t="s">
        <v>277</v>
      </c>
      <c r="I17" s="111" t="s">
        <v>258</v>
      </c>
      <c r="J17" s="113">
        <v>45343</v>
      </c>
      <c r="K17" s="129">
        <v>45342</v>
      </c>
      <c r="L17" s="114" t="s">
        <v>152</v>
      </c>
      <c r="M17" s="130"/>
      <c r="N17" s="115">
        <f>IF(OR($AG$1=0,Z17=0,AA17=0),"",VLOOKUP(AO17,VMA[#All],Beispielabrechnung!AP17,FALSE))</f>
        <v>14</v>
      </c>
      <c r="O17" s="131"/>
      <c r="P17" s="131"/>
      <c r="Q17" s="131"/>
      <c r="R17" s="116">
        <f t="shared" si="0"/>
        <v>14</v>
      </c>
      <c r="S17" s="114"/>
      <c r="T17" s="132"/>
      <c r="U17" s="118" t="str">
        <f>IF(OR($AG$1=0,$AG$3&lt;&gt;2,$AG$5&lt;&gt;1),"",IF(S17&lt;&gt;"",VLOOKUP(S17,Pauschalen!$A$1:$D$244,4,FALSE),""))</f>
        <v/>
      </c>
      <c r="V17" s="133"/>
      <c r="W17" s="134"/>
      <c r="X17" s="135"/>
      <c r="Z17" s="96">
        <f t="shared" si="1"/>
        <v>1</v>
      </c>
      <c r="AA17" s="96">
        <f t="shared" si="2"/>
        <v>1</v>
      </c>
      <c r="AB17" s="96">
        <f t="shared" si="3"/>
        <v>0</v>
      </c>
      <c r="AC17" s="123">
        <f t="shared" si="15"/>
        <v>0</v>
      </c>
      <c r="AD17" s="96">
        <f t="shared" si="16"/>
        <v>0</v>
      </c>
      <c r="AE17" s="96">
        <f t="shared" si="17"/>
        <v>0</v>
      </c>
      <c r="AF17" s="96">
        <f t="shared" si="4"/>
        <v>0</v>
      </c>
      <c r="AG17" s="96">
        <f t="shared" si="5"/>
        <v>0</v>
      </c>
      <c r="AH17" s="96">
        <f t="shared" si="6"/>
        <v>1</v>
      </c>
      <c r="AI17" s="96" t="str">
        <f t="shared" si="7"/>
        <v>Deutschland</v>
      </c>
      <c r="AJ17" s="96">
        <f t="shared" si="8"/>
        <v>0</v>
      </c>
      <c r="AK17" s="96">
        <f t="shared" si="9"/>
        <v>0</v>
      </c>
      <c r="AL17" s="96">
        <f t="shared" si="10"/>
        <v>0</v>
      </c>
      <c r="AM17" s="96">
        <f t="shared" si="11"/>
        <v>0</v>
      </c>
      <c r="AN17" s="96">
        <f t="shared" si="12"/>
        <v>0</v>
      </c>
      <c r="AO17" s="96" t="str">
        <f t="shared" si="22"/>
        <v>Deutschland</v>
      </c>
      <c r="AP17" s="96">
        <f t="shared" si="19"/>
        <v>3</v>
      </c>
      <c r="AQ17" s="96">
        <f>VLOOKUP(AO17,Pauschalen!$A$1:$D$244,2,FALSE)</f>
        <v>28</v>
      </c>
      <c r="AR17" s="96">
        <f t="shared" si="13"/>
        <v>0</v>
      </c>
      <c r="AS17" s="96">
        <f t="shared" si="14"/>
        <v>0</v>
      </c>
      <c r="AT17" s="96">
        <f t="shared" si="14"/>
        <v>0</v>
      </c>
      <c r="AU17" s="96">
        <f t="shared" si="20"/>
        <v>0</v>
      </c>
    </row>
    <row r="18" spans="1:47" s="122" customFormat="1" ht="28.5" customHeight="1" thickBot="1" x14ac:dyDescent="0.25">
      <c r="A18" s="211" t="str">
        <f t="shared" si="21"/>
        <v/>
      </c>
      <c r="B18" s="211"/>
      <c r="C18" s="110">
        <v>45343</v>
      </c>
      <c r="D18" s="111" t="s">
        <v>329</v>
      </c>
      <c r="E18" s="111" t="s">
        <v>246</v>
      </c>
      <c r="F18" s="112"/>
      <c r="G18" s="112"/>
      <c r="H18" s="111"/>
      <c r="I18" s="111" t="s">
        <v>258</v>
      </c>
      <c r="J18" s="113">
        <v>45343</v>
      </c>
      <c r="K18" s="113"/>
      <c r="L18" s="114" t="s">
        <v>251</v>
      </c>
      <c r="M18" s="130"/>
      <c r="N18" s="115">
        <f>IF(OR($AG$1=0,Z18=0,AA18=0),"",VLOOKUP(AO18,VMA[#All],Beispielabrechnung!AP18,FALSE))</f>
        <v>62</v>
      </c>
      <c r="O18" s="112" t="s">
        <v>231</v>
      </c>
      <c r="P18" s="112"/>
      <c r="Q18" s="112"/>
      <c r="R18" s="116">
        <f t="shared" si="0"/>
        <v>49.6</v>
      </c>
      <c r="S18" s="114" t="s">
        <v>251</v>
      </c>
      <c r="T18" s="117">
        <v>126</v>
      </c>
      <c r="U18" s="118">
        <f>IF(OR($AG$1=0,$AG$3&lt;&gt;2,$AG$5&lt;&gt;1),"",IF(S18&lt;&gt;"",VLOOKUP(S18,Pauschalen!$A$1:$D$244,4,FALSE),""))</f>
        <v>204</v>
      </c>
      <c r="V18" s="119"/>
      <c r="W18" s="120"/>
      <c r="X18" s="121">
        <v>32</v>
      </c>
      <c r="Z18" s="96">
        <f t="shared" si="1"/>
        <v>1</v>
      </c>
      <c r="AA18" s="96">
        <f t="shared" si="2"/>
        <v>1</v>
      </c>
      <c r="AB18" s="96">
        <f t="shared" si="3"/>
        <v>0</v>
      </c>
      <c r="AC18" s="123">
        <f t="shared" si="15"/>
        <v>0</v>
      </c>
      <c r="AD18" s="96">
        <f t="shared" si="16"/>
        <v>0</v>
      </c>
      <c r="AE18" s="96">
        <f t="shared" si="17"/>
        <v>0</v>
      </c>
      <c r="AF18" s="96">
        <f t="shared" si="4"/>
        <v>0</v>
      </c>
      <c r="AG18" s="96">
        <f t="shared" si="5"/>
        <v>0</v>
      </c>
      <c r="AH18" s="96">
        <f t="shared" si="6"/>
        <v>1</v>
      </c>
      <c r="AI18" s="96" t="str">
        <f t="shared" si="7"/>
        <v>USA: Houston</v>
      </c>
      <c r="AJ18" s="96">
        <f t="shared" si="8"/>
        <v>0</v>
      </c>
      <c r="AK18" s="96">
        <f t="shared" si="9"/>
        <v>0</v>
      </c>
      <c r="AL18" s="96">
        <f t="shared" si="10"/>
        <v>0</v>
      </c>
      <c r="AM18" s="96">
        <f t="shared" si="11"/>
        <v>0</v>
      </c>
      <c r="AN18" s="96">
        <f t="shared" si="12"/>
        <v>0</v>
      </c>
      <c r="AO18" s="96" t="str">
        <f t="shared" si="22"/>
        <v>USA: Houston</v>
      </c>
      <c r="AP18" s="96">
        <f t="shared" si="19"/>
        <v>2</v>
      </c>
      <c r="AQ18" s="96">
        <f>VLOOKUP(AO18,Pauschalen!$A$1:$D$244,2,FALSE)</f>
        <v>62</v>
      </c>
      <c r="AR18" s="96">
        <f t="shared" si="13"/>
        <v>0.2</v>
      </c>
      <c r="AS18" s="96">
        <f t="shared" si="14"/>
        <v>0</v>
      </c>
      <c r="AT18" s="96">
        <f t="shared" si="14"/>
        <v>0</v>
      </c>
      <c r="AU18" s="96">
        <f t="shared" si="20"/>
        <v>0.2</v>
      </c>
    </row>
    <row r="19" spans="1:47" s="122" customFormat="1" ht="28.5" customHeight="1" thickBot="1" x14ac:dyDescent="0.25">
      <c r="A19" s="211" t="str">
        <f t="shared" si="21"/>
        <v/>
      </c>
      <c r="B19" s="211"/>
      <c r="C19" s="110">
        <v>45344</v>
      </c>
      <c r="D19" s="111" t="s">
        <v>329</v>
      </c>
      <c r="E19" s="111" t="s">
        <v>246</v>
      </c>
      <c r="F19" s="112"/>
      <c r="G19" s="112"/>
      <c r="H19" s="111"/>
      <c r="I19" s="111"/>
      <c r="J19" s="113"/>
      <c r="K19" s="129"/>
      <c r="L19" s="114" t="s">
        <v>251</v>
      </c>
      <c r="M19" s="130"/>
      <c r="N19" s="115">
        <f>IF(OR($AG$1=0,Z19=0,AA19=0),"",VLOOKUP(AO19,VMA[#All],Beispielabrechnung!AP19,FALSE))</f>
        <v>62</v>
      </c>
      <c r="O19" s="131" t="s">
        <v>231</v>
      </c>
      <c r="P19" s="131"/>
      <c r="Q19" s="131"/>
      <c r="R19" s="116">
        <f t="shared" si="0"/>
        <v>49.6</v>
      </c>
      <c r="S19" s="114" t="s">
        <v>251</v>
      </c>
      <c r="T19" s="132">
        <v>126</v>
      </c>
      <c r="U19" s="118">
        <f>IF(OR($AG$1=0,$AG$3&lt;&gt;2,$AG$5&lt;&gt;1),"",IF(S19&lt;&gt;"",VLOOKUP(S19,Pauschalen!$A$1:$D$244,4,FALSE),""))</f>
        <v>204</v>
      </c>
      <c r="V19" s="133"/>
      <c r="W19" s="134"/>
      <c r="X19" s="135">
        <v>52</v>
      </c>
      <c r="Z19" s="96">
        <f t="shared" si="1"/>
        <v>1</v>
      </c>
      <c r="AA19" s="96">
        <f t="shared" si="2"/>
        <v>1</v>
      </c>
      <c r="AB19" s="96">
        <f t="shared" si="3"/>
        <v>0</v>
      </c>
      <c r="AC19" s="123">
        <f t="shared" si="15"/>
        <v>0</v>
      </c>
      <c r="AD19" s="96">
        <f t="shared" si="16"/>
        <v>0</v>
      </c>
      <c r="AE19" s="96">
        <f t="shared" si="17"/>
        <v>0</v>
      </c>
      <c r="AF19" s="96">
        <f t="shared" si="4"/>
        <v>1</v>
      </c>
      <c r="AG19" s="96" t="str">
        <f t="shared" si="5"/>
        <v>USA: Houston</v>
      </c>
      <c r="AH19" s="96">
        <f t="shared" si="6"/>
        <v>0</v>
      </c>
      <c r="AI19" s="96">
        <f t="shared" si="7"/>
        <v>0</v>
      </c>
      <c r="AJ19" s="96">
        <f t="shared" si="8"/>
        <v>0</v>
      </c>
      <c r="AK19" s="96">
        <f t="shared" si="9"/>
        <v>0</v>
      </c>
      <c r="AL19" s="96">
        <f t="shared" si="10"/>
        <v>0</v>
      </c>
      <c r="AM19" s="96">
        <f t="shared" si="11"/>
        <v>0</v>
      </c>
      <c r="AN19" s="96">
        <f t="shared" si="12"/>
        <v>0</v>
      </c>
      <c r="AO19" s="96" t="str">
        <f t="shared" si="22"/>
        <v>USA: Houston</v>
      </c>
      <c r="AP19" s="96">
        <f t="shared" si="19"/>
        <v>2</v>
      </c>
      <c r="AQ19" s="96">
        <f>VLOOKUP(AO19,Pauschalen!$A$1:$D$244,2,FALSE)</f>
        <v>62</v>
      </c>
      <c r="AR19" s="96">
        <f t="shared" si="13"/>
        <v>0.2</v>
      </c>
      <c r="AS19" s="96">
        <f t="shared" si="14"/>
        <v>0</v>
      </c>
      <c r="AT19" s="96">
        <f t="shared" si="14"/>
        <v>0</v>
      </c>
      <c r="AU19" s="96">
        <f t="shared" si="20"/>
        <v>0.2</v>
      </c>
    </row>
    <row r="20" spans="1:47" s="122" customFormat="1" ht="28.5" customHeight="1" thickBot="1" x14ac:dyDescent="0.25">
      <c r="A20" s="211" t="str">
        <f t="shared" ref="A20:A25" si="23">IF(AJ20=1,$AW$12,IF(AM20=1,$AW$13,IF(AN20=1,$AW$14,IF(AD20=1,$AW$11,""))))</f>
        <v/>
      </c>
      <c r="B20" s="211"/>
      <c r="C20" s="110">
        <v>45345</v>
      </c>
      <c r="D20" s="111" t="s">
        <v>330</v>
      </c>
      <c r="E20" s="111" t="s">
        <v>246</v>
      </c>
      <c r="F20" s="112"/>
      <c r="G20" s="112"/>
      <c r="H20" s="111"/>
      <c r="I20" s="111"/>
      <c r="J20" s="113"/>
      <c r="K20" s="113"/>
      <c r="L20" s="114" t="s">
        <v>257</v>
      </c>
      <c r="M20" s="114"/>
      <c r="N20" s="115">
        <f>IF(OR($AG$1=0,Z20=0,AA20=0),"",VLOOKUP(AO20,VMA[#All],Beispielabrechnung!AP20,FALSE))</f>
        <v>59</v>
      </c>
      <c r="O20" s="131" t="s">
        <v>231</v>
      </c>
      <c r="P20" s="131"/>
      <c r="Q20" s="112"/>
      <c r="R20" s="116">
        <f t="shared" si="0"/>
        <v>47.2</v>
      </c>
      <c r="S20" s="114" t="s">
        <v>257</v>
      </c>
      <c r="T20" s="117">
        <v>154</v>
      </c>
      <c r="U20" s="118">
        <f>IF(OR($AG$1=0,$AG$3&lt;&gt;2,$AG$5&lt;&gt;1),"",IF(S20&lt;&gt;"",VLOOKUP(S20,Pauschalen!$A$1:$D$244,4,FALSE),""))</f>
        <v>182</v>
      </c>
      <c r="V20" s="119"/>
      <c r="W20" s="120"/>
      <c r="X20" s="121">
        <v>215</v>
      </c>
      <c r="Z20" s="96">
        <f t="shared" si="1"/>
        <v>1</v>
      </c>
      <c r="AA20" s="96">
        <f t="shared" si="2"/>
        <v>1</v>
      </c>
      <c r="AB20" s="96">
        <f t="shared" si="3"/>
        <v>0</v>
      </c>
      <c r="AC20" s="123">
        <f t="shared" si="15"/>
        <v>0</v>
      </c>
      <c r="AD20" s="96">
        <f t="shared" si="16"/>
        <v>0</v>
      </c>
      <c r="AE20" s="96">
        <f t="shared" si="17"/>
        <v>0</v>
      </c>
      <c r="AF20" s="96">
        <f t="shared" si="4"/>
        <v>1</v>
      </c>
      <c r="AG20" s="96" t="str">
        <f t="shared" si="5"/>
        <v>USA: (Übrige)</v>
      </c>
      <c r="AH20" s="96">
        <f t="shared" si="6"/>
        <v>0</v>
      </c>
      <c r="AI20" s="96">
        <f t="shared" si="7"/>
        <v>0</v>
      </c>
      <c r="AJ20" s="96">
        <f t="shared" si="8"/>
        <v>0</v>
      </c>
      <c r="AK20" s="96">
        <f t="shared" si="9"/>
        <v>0</v>
      </c>
      <c r="AL20" s="96">
        <f t="shared" si="10"/>
        <v>0</v>
      </c>
      <c r="AM20" s="96">
        <f t="shared" si="11"/>
        <v>0</v>
      </c>
      <c r="AN20" s="96">
        <f t="shared" si="12"/>
        <v>0</v>
      </c>
      <c r="AO20" s="96" t="str">
        <f t="shared" si="22"/>
        <v>USA: (Übrige)</v>
      </c>
      <c r="AP20" s="96">
        <f t="shared" si="19"/>
        <v>2</v>
      </c>
      <c r="AQ20" s="96">
        <f>VLOOKUP(AO20,Pauschalen!$A$1:$D$244,2,FALSE)</f>
        <v>59</v>
      </c>
      <c r="AR20" s="96">
        <f t="shared" si="13"/>
        <v>0.2</v>
      </c>
      <c r="AS20" s="96">
        <f t="shared" si="14"/>
        <v>0</v>
      </c>
      <c r="AT20" s="96">
        <f t="shared" si="14"/>
        <v>0</v>
      </c>
      <c r="AU20" s="96">
        <f t="shared" si="20"/>
        <v>0.2</v>
      </c>
    </row>
    <row r="21" spans="1:47" s="122" customFormat="1" ht="28.5" customHeight="1" thickBot="1" x14ac:dyDescent="0.25">
      <c r="A21" s="211" t="str">
        <f t="shared" si="23"/>
        <v/>
      </c>
      <c r="B21" s="211"/>
      <c r="C21" s="110">
        <v>45346</v>
      </c>
      <c r="D21" s="111" t="s">
        <v>330</v>
      </c>
      <c r="E21" s="111" t="s">
        <v>246</v>
      </c>
      <c r="F21" s="112"/>
      <c r="G21" s="112"/>
      <c r="H21" s="111"/>
      <c r="I21" s="111"/>
      <c r="J21" s="113"/>
      <c r="K21" s="129"/>
      <c r="L21" s="114" t="s">
        <v>257</v>
      </c>
      <c r="M21" s="130"/>
      <c r="N21" s="115">
        <f>IF(OR($AG$1=0,Z21=0,AA21=0),"",VLOOKUP(AO21,VMA[#All],Beispielabrechnung!AP21,FALSE))</f>
        <v>59</v>
      </c>
      <c r="O21" s="131" t="s">
        <v>231</v>
      </c>
      <c r="P21" s="131"/>
      <c r="Q21" s="131"/>
      <c r="R21" s="116">
        <f t="shared" si="0"/>
        <v>47.2</v>
      </c>
      <c r="S21" s="114" t="s">
        <v>257</v>
      </c>
      <c r="T21" s="132">
        <v>154</v>
      </c>
      <c r="U21" s="118">
        <f>IF(OR($AG$1=0,$AG$3&lt;&gt;2,$AG$5&lt;&gt;1),"",IF(S21&lt;&gt;"",VLOOKUP(S21,Pauschalen!$A$1:$D$244,4,FALSE),""))</f>
        <v>182</v>
      </c>
      <c r="V21" s="133"/>
      <c r="W21" s="134"/>
      <c r="X21" s="135">
        <v>48</v>
      </c>
      <c r="Z21" s="96">
        <f t="shared" si="1"/>
        <v>1</v>
      </c>
      <c r="AA21" s="96">
        <f t="shared" si="2"/>
        <v>1</v>
      </c>
      <c r="AB21" s="96">
        <f t="shared" si="3"/>
        <v>0</v>
      </c>
      <c r="AC21" s="123">
        <f t="shared" si="15"/>
        <v>0</v>
      </c>
      <c r="AD21" s="96">
        <f t="shared" si="16"/>
        <v>0</v>
      </c>
      <c r="AE21" s="96">
        <f t="shared" si="17"/>
        <v>0</v>
      </c>
      <c r="AF21" s="96">
        <f t="shared" si="4"/>
        <v>1</v>
      </c>
      <c r="AG21" s="96" t="str">
        <f t="shared" si="5"/>
        <v>USA: (Übrige)</v>
      </c>
      <c r="AH21" s="96">
        <f t="shared" si="6"/>
        <v>0</v>
      </c>
      <c r="AI21" s="96">
        <f t="shared" si="7"/>
        <v>0</v>
      </c>
      <c r="AJ21" s="96">
        <f t="shared" si="8"/>
        <v>0</v>
      </c>
      <c r="AK21" s="96">
        <f t="shared" si="9"/>
        <v>0</v>
      </c>
      <c r="AL21" s="96">
        <f t="shared" si="10"/>
        <v>0</v>
      </c>
      <c r="AM21" s="96">
        <f t="shared" si="11"/>
        <v>0</v>
      </c>
      <c r="AN21" s="96">
        <f t="shared" si="12"/>
        <v>0</v>
      </c>
      <c r="AO21" s="96" t="str">
        <f t="shared" si="22"/>
        <v>USA: (Übrige)</v>
      </c>
      <c r="AP21" s="96">
        <f t="shared" si="19"/>
        <v>2</v>
      </c>
      <c r="AQ21" s="96">
        <f>VLOOKUP(AO21,Pauschalen!$A$1:$D$244,2,FALSE)</f>
        <v>59</v>
      </c>
      <c r="AR21" s="96">
        <f t="shared" si="13"/>
        <v>0.2</v>
      </c>
      <c r="AS21" s="96">
        <f t="shared" si="14"/>
        <v>0</v>
      </c>
      <c r="AT21" s="96">
        <f t="shared" si="14"/>
        <v>0</v>
      </c>
      <c r="AU21" s="96">
        <f t="shared" si="20"/>
        <v>0.2</v>
      </c>
    </row>
    <row r="22" spans="1:47" s="122" customFormat="1" ht="28.5" customHeight="1" thickBot="1" x14ac:dyDescent="0.25">
      <c r="A22" s="211" t="str">
        <f t="shared" si="23"/>
        <v/>
      </c>
      <c r="B22" s="211"/>
      <c r="C22" s="110">
        <v>45347</v>
      </c>
      <c r="D22" s="111" t="s">
        <v>331</v>
      </c>
      <c r="E22" s="111" t="s">
        <v>246</v>
      </c>
      <c r="F22" s="112"/>
      <c r="G22" s="112"/>
      <c r="H22" s="111" t="s">
        <v>284</v>
      </c>
      <c r="I22" s="111" t="s">
        <v>258</v>
      </c>
      <c r="J22" s="113">
        <v>45347</v>
      </c>
      <c r="K22" s="129"/>
      <c r="L22" s="114" t="s">
        <v>152</v>
      </c>
      <c r="M22" s="130"/>
      <c r="N22" s="115">
        <f>IF(OR($AG$1=0,Z22=0,AA22=0),"",VLOOKUP(AO22,VMA[#All],Beispielabrechnung!AP22,FALSE))</f>
        <v>14</v>
      </c>
      <c r="O22" s="131" t="s">
        <v>231</v>
      </c>
      <c r="P22" s="131"/>
      <c r="Q22" s="131"/>
      <c r="R22" s="116">
        <f t="shared" si="0"/>
        <v>8.3999999999999986</v>
      </c>
      <c r="S22" s="130"/>
      <c r="T22" s="132"/>
      <c r="U22" s="118" t="str">
        <f>IF(OR($AG$1=0,$AG$3&lt;&gt;2,$AG$5&lt;&gt;1),"",IF(S22&lt;&gt;"",VLOOKUP(S22,Pauschalen!$A$1:$D$244,4,FALSE),""))</f>
        <v/>
      </c>
      <c r="V22" s="133"/>
      <c r="W22" s="134"/>
      <c r="X22" s="135">
        <v>18</v>
      </c>
      <c r="Z22" s="96">
        <f t="shared" si="1"/>
        <v>1</v>
      </c>
      <c r="AA22" s="96">
        <f t="shared" si="2"/>
        <v>1</v>
      </c>
      <c r="AB22" s="96">
        <f t="shared" si="3"/>
        <v>0</v>
      </c>
      <c r="AC22" s="123">
        <f t="shared" si="15"/>
        <v>0</v>
      </c>
      <c r="AD22" s="96">
        <f t="shared" si="16"/>
        <v>0</v>
      </c>
      <c r="AE22" s="96">
        <f t="shared" si="17"/>
        <v>0</v>
      </c>
      <c r="AF22" s="96">
        <f t="shared" si="4"/>
        <v>0</v>
      </c>
      <c r="AG22" s="96">
        <f t="shared" si="5"/>
        <v>0</v>
      </c>
      <c r="AH22" s="96">
        <f t="shared" si="6"/>
        <v>1</v>
      </c>
      <c r="AI22" s="96" t="str">
        <f t="shared" si="7"/>
        <v>Deutschland</v>
      </c>
      <c r="AJ22" s="96">
        <f t="shared" si="8"/>
        <v>0</v>
      </c>
      <c r="AK22" s="96">
        <f t="shared" si="9"/>
        <v>0</v>
      </c>
      <c r="AL22" s="96">
        <f t="shared" si="10"/>
        <v>0</v>
      </c>
      <c r="AM22" s="96">
        <f t="shared" si="11"/>
        <v>0</v>
      </c>
      <c r="AN22" s="96">
        <f t="shared" si="12"/>
        <v>0</v>
      </c>
      <c r="AO22" s="96" t="str">
        <f t="shared" si="22"/>
        <v>Deutschland</v>
      </c>
      <c r="AP22" s="96">
        <f t="shared" si="19"/>
        <v>3</v>
      </c>
      <c r="AQ22" s="96">
        <f>VLOOKUP(AO22,Pauschalen!$A$1:$D$244,2,FALSE)</f>
        <v>28</v>
      </c>
      <c r="AR22" s="96">
        <f t="shared" si="13"/>
        <v>0.2</v>
      </c>
      <c r="AS22" s="96">
        <f t="shared" si="14"/>
        <v>0</v>
      </c>
      <c r="AT22" s="96">
        <f t="shared" si="14"/>
        <v>0</v>
      </c>
      <c r="AU22" s="96">
        <f t="shared" ref="AU22:AU23" si="24">SUM(AR22:AT22)</f>
        <v>0.2</v>
      </c>
    </row>
    <row r="23" spans="1:47" s="122" customFormat="1" ht="28.5" customHeight="1" thickBot="1" x14ac:dyDescent="0.25">
      <c r="A23" s="211" t="str">
        <f t="shared" si="23"/>
        <v/>
      </c>
      <c r="B23" s="211"/>
      <c r="C23" s="110">
        <v>45366</v>
      </c>
      <c r="D23" s="111" t="s">
        <v>340</v>
      </c>
      <c r="E23" s="111" t="s">
        <v>260</v>
      </c>
      <c r="F23" s="112">
        <v>0.3125</v>
      </c>
      <c r="G23" s="112">
        <v>0.625</v>
      </c>
      <c r="H23" s="111"/>
      <c r="I23" s="111"/>
      <c r="J23" s="113"/>
      <c r="K23" s="129"/>
      <c r="L23" s="130"/>
      <c r="M23" s="114" t="s">
        <v>139</v>
      </c>
      <c r="N23" s="115">
        <f>IF(OR($AG$1=0,Z23=0,AA23=0),"",VLOOKUP(AO23,VMA[#All],Beispielabrechnung!AP23,FALSE))</f>
        <v>0</v>
      </c>
      <c r="O23" s="131"/>
      <c r="P23" s="131" t="s">
        <v>231</v>
      </c>
      <c r="Q23" s="131"/>
      <c r="R23" s="116">
        <f t="shared" si="0"/>
        <v>-12.8</v>
      </c>
      <c r="S23" s="130"/>
      <c r="T23" s="132"/>
      <c r="U23" s="118" t="str">
        <f>IF(OR($AG$1=0,$AG$3&lt;&gt;2,$AG$5&lt;&gt;1),"",IF(S23&lt;&gt;"",VLOOKUP(S23,Pauschalen!$A$1:$D$244,4,FALSE),""))</f>
        <v/>
      </c>
      <c r="V23" s="133" t="s">
        <v>333</v>
      </c>
      <c r="W23" s="134">
        <v>154</v>
      </c>
      <c r="X23" s="135">
        <v>6</v>
      </c>
      <c r="Z23" s="96">
        <f t="shared" si="1"/>
        <v>1</v>
      </c>
      <c r="AA23" s="96">
        <f t="shared" si="2"/>
        <v>1</v>
      </c>
      <c r="AB23" s="96">
        <f t="shared" si="3"/>
        <v>1</v>
      </c>
      <c r="AC23" s="123">
        <f t="shared" si="15"/>
        <v>0.3125</v>
      </c>
      <c r="AD23" s="96">
        <f t="shared" si="16"/>
        <v>0</v>
      </c>
      <c r="AE23" s="96" t="str">
        <f t="shared" si="17"/>
        <v>Tschechische Republik</v>
      </c>
      <c r="AF23" s="96">
        <f t="shared" si="4"/>
        <v>0</v>
      </c>
      <c r="AG23" s="96">
        <f t="shared" si="5"/>
        <v>0</v>
      </c>
      <c r="AH23" s="96">
        <f t="shared" si="6"/>
        <v>0</v>
      </c>
      <c r="AI23" s="96">
        <f t="shared" si="7"/>
        <v>0</v>
      </c>
      <c r="AJ23" s="96">
        <f t="shared" si="8"/>
        <v>0</v>
      </c>
      <c r="AK23" s="96">
        <f t="shared" si="9"/>
        <v>0</v>
      </c>
      <c r="AL23" s="96">
        <f t="shared" si="10"/>
        <v>0</v>
      </c>
      <c r="AM23" s="96">
        <f t="shared" si="11"/>
        <v>0</v>
      </c>
      <c r="AN23" s="96">
        <f t="shared" si="12"/>
        <v>0</v>
      </c>
      <c r="AO23" s="96" t="str">
        <f t="shared" si="22"/>
        <v>Tschechische Republik</v>
      </c>
      <c r="AP23" s="96">
        <f t="shared" si="19"/>
        <v>5</v>
      </c>
      <c r="AQ23" s="96">
        <f>VLOOKUP(AO23,Pauschalen!$A$1:$D$244,2,FALSE)</f>
        <v>32</v>
      </c>
      <c r="AR23" s="96">
        <f t="shared" si="13"/>
        <v>0</v>
      </c>
      <c r="AS23" s="96">
        <f t="shared" si="14"/>
        <v>0.4</v>
      </c>
      <c r="AT23" s="96">
        <f t="shared" si="14"/>
        <v>0</v>
      </c>
      <c r="AU23" s="96">
        <f t="shared" si="24"/>
        <v>0.4</v>
      </c>
    </row>
    <row r="24" spans="1:47" s="122" customFormat="1" ht="28.5" customHeight="1" thickBot="1" x14ac:dyDescent="0.25">
      <c r="A24" s="211" t="str">
        <f t="shared" si="23"/>
        <v/>
      </c>
      <c r="B24" s="211"/>
      <c r="C24" s="110">
        <v>45379</v>
      </c>
      <c r="D24" s="111" t="s">
        <v>332</v>
      </c>
      <c r="E24" s="111" t="s">
        <v>246</v>
      </c>
      <c r="F24" s="112"/>
      <c r="G24" s="112"/>
      <c r="H24" s="111" t="s">
        <v>277</v>
      </c>
      <c r="I24" s="111"/>
      <c r="J24" s="113"/>
      <c r="K24" s="129"/>
      <c r="L24" s="130" t="s">
        <v>190</v>
      </c>
      <c r="M24" s="130"/>
      <c r="N24" s="115">
        <f>IF(OR($AG$1=0,Z24=0,AA24=0),"",VLOOKUP(AO24,VMA[#All],Beispielabrechnung!AP24,FALSE))</f>
        <v>20</v>
      </c>
      <c r="O24" s="131"/>
      <c r="P24" s="131"/>
      <c r="Q24" s="131"/>
      <c r="R24" s="116">
        <f t="shared" si="0"/>
        <v>20</v>
      </c>
      <c r="S24" s="130" t="s">
        <v>190</v>
      </c>
      <c r="T24" s="132">
        <v>40</v>
      </c>
      <c r="U24" s="118">
        <f>IF(OR($AG$1=0,$AG$3&lt;&gt;2,$AG$5&lt;&gt;1),"",IF(S24&lt;&gt;"",VLOOKUP(S24,Pauschalen!$A$1:$D$244,4,FALSE),""))</f>
        <v>60</v>
      </c>
      <c r="V24" s="133" t="s">
        <v>314</v>
      </c>
      <c r="W24" s="134">
        <v>191</v>
      </c>
      <c r="X24" s="135">
        <v>12</v>
      </c>
      <c r="Z24" s="96">
        <f>IF(OR(C24="",D24="",E24=""),0,1)</f>
        <v>1</v>
      </c>
      <c r="AA24" s="96">
        <f>IF(OR(AND(AK24=1,J24&lt;&gt;"",K24&lt;&gt;"",C24&lt;&gt;J24,C24&lt;&gt;K24),AND(E24="Mehrtägigen",L24&lt;&gt;"")),1,IF(AND(E24="eintägigen",M24&lt;&gt;""),1,0))</f>
        <v>1</v>
      </c>
      <c r="AB24" s="96">
        <f>IF(E24="eintägigen",1,0)</f>
        <v>0</v>
      </c>
      <c r="AC24" s="123">
        <f t="shared" si="15"/>
        <v>0</v>
      </c>
      <c r="AD24" s="96">
        <f t="shared" si="16"/>
        <v>0</v>
      </c>
      <c r="AE24" s="96">
        <f>IF(AB24=1,M24,0)</f>
        <v>0</v>
      </c>
      <c r="AF24" s="96">
        <f>IF(AND(E24="mehrtägigen",AH24=0,AK24=0),1,0)</f>
        <v>1</v>
      </c>
      <c r="AG24" s="96" t="str">
        <f>IF(AF24=1,IF(H24&lt;&gt;"endete",L24,IF(M24="",L24,M24)),0)</f>
        <v>Polen (Übriges)</v>
      </c>
      <c r="AH24" s="96">
        <f>IF(I24="Flugzeug",1,0)</f>
        <v>0</v>
      </c>
      <c r="AI24" s="96">
        <f>IF(AH24=1,IF(AND(H24="endete",M24&lt;&gt;""),M24,IF(J24=C24,L24,IF(AND(J24&lt;&gt;C24,K24=C24),L24,IF(AND(C24&lt;&gt;J24,C24&lt;&gt;K24,J24&lt;&gt;"",K24&lt;&gt;""),$AO$3,0)))),0)</f>
        <v>0</v>
      </c>
      <c r="AJ24" s="96">
        <f>IF(AND(AH24=1,C24&lt;&gt;J24,C24=K24,L24=""),1,0)</f>
        <v>0</v>
      </c>
      <c r="AK24" s="96">
        <f>IF(I24="Schiff",1,0)</f>
        <v>0</v>
      </c>
      <c r="AL24" s="96">
        <f>IF(AK24=1,IF(C24=J24,L24,IF(C24=K24,L24,IF(AND(C24&lt;&gt;J24,C24&lt;&gt;K24,J24&lt;&gt;"",K24&lt;&gt;""),$AO$5,0))),0)</f>
        <v>0</v>
      </c>
      <c r="AM24" s="96">
        <f>IF(AND(AK24=1,C24=J24,L24=""),1,0)</f>
        <v>0</v>
      </c>
      <c r="AN24" s="96">
        <f>IF(AND(AK24=1,C24=K24,L24=""),1,0)</f>
        <v>0</v>
      </c>
      <c r="AO24" s="96" t="str">
        <f t="shared" si="22"/>
        <v>Polen (Übriges)</v>
      </c>
      <c r="AP24" s="96">
        <f t="shared" si="19"/>
        <v>3</v>
      </c>
      <c r="AQ24" s="96">
        <f>VLOOKUP(AO24,Pauschalen!$A$1:$D$244,2,FALSE)</f>
        <v>29</v>
      </c>
      <c r="AR24" s="96">
        <f>IF(O24&lt;&gt;"",0.2,0)</f>
        <v>0</v>
      </c>
      <c r="AS24" s="96">
        <f>IF(P24&lt;&gt;"",0.4,0)</f>
        <v>0</v>
      </c>
      <c r="AT24" s="96">
        <f>IF(Q24&lt;&gt;"",0.4,0)</f>
        <v>0</v>
      </c>
      <c r="AU24" s="96">
        <f t="shared" si="20"/>
        <v>0</v>
      </c>
    </row>
    <row r="25" spans="1:47" s="122" customFormat="1" ht="28.5" customHeight="1" thickBot="1" x14ac:dyDescent="0.25">
      <c r="A25" s="211" t="str">
        <f t="shared" si="23"/>
        <v/>
      </c>
      <c r="B25" s="211"/>
      <c r="C25" s="110">
        <v>45380</v>
      </c>
      <c r="D25" s="111" t="s">
        <v>332</v>
      </c>
      <c r="E25" s="111" t="s">
        <v>246</v>
      </c>
      <c r="F25" s="112"/>
      <c r="G25" s="112"/>
      <c r="H25" s="111" t="s">
        <v>284</v>
      </c>
      <c r="I25" s="111"/>
      <c r="J25" s="113"/>
      <c r="K25" s="113"/>
      <c r="L25" s="114" t="s">
        <v>152</v>
      </c>
      <c r="M25" s="130" t="s">
        <v>190</v>
      </c>
      <c r="N25" s="115">
        <f>IF(OR($AG$1=0,Z25=0,AA25=0),"",VLOOKUP(AO25,VMA[#All],Beispielabrechnung!AP25,FALSE))</f>
        <v>20</v>
      </c>
      <c r="O25" s="112" t="s">
        <v>231</v>
      </c>
      <c r="P25" s="112"/>
      <c r="Q25" s="112"/>
      <c r="R25" s="116">
        <f t="shared" si="0"/>
        <v>14.2</v>
      </c>
      <c r="S25" s="114"/>
      <c r="T25" s="117"/>
      <c r="U25" s="118" t="str">
        <f>IF(OR($AG$1=0,$AG$3&lt;&gt;2,$AG$5&lt;&gt;1),"",IF(S25&lt;&gt;"",VLOOKUP(S25,Pauschalen!$A$1:$D$244,4,FALSE),""))</f>
        <v/>
      </c>
      <c r="V25" s="133" t="s">
        <v>314</v>
      </c>
      <c r="W25" s="120">
        <v>193</v>
      </c>
      <c r="X25" s="121">
        <v>8</v>
      </c>
      <c r="Z25" s="96">
        <f>IF(OR(C25="",D25="",E25=""),0,1)</f>
        <v>1</v>
      </c>
      <c r="AA25" s="96">
        <f>IF(OR(AND(AK25=1,J25&lt;&gt;"",K25&lt;&gt;"",C25&lt;&gt;J25,C25&lt;&gt;K25),AND(E25="Mehrtägigen",L25&lt;&gt;"")),1,IF(AND(E25="eintägigen",M25&lt;&gt;""),1,0))</f>
        <v>1</v>
      </c>
      <c r="AB25" s="96">
        <f>IF(E25="eintägigen",1,0)</f>
        <v>0</v>
      </c>
      <c r="AC25" s="123">
        <f t="shared" si="15"/>
        <v>0</v>
      </c>
      <c r="AD25" s="96">
        <f t="shared" si="16"/>
        <v>0</v>
      </c>
      <c r="AE25" s="96">
        <f>IF(AB25=1,M25,0)</f>
        <v>0</v>
      </c>
      <c r="AF25" s="96">
        <f>IF(AND(E25="mehrtägigen",AH25=0,AK25=0),1,0)</f>
        <v>1</v>
      </c>
      <c r="AG25" s="96" t="str">
        <f>IF(AF25=1,IF(H25&lt;&gt;"endete",L25,IF(M25="",L25,M25)),0)</f>
        <v>Polen (Übriges)</v>
      </c>
      <c r="AH25" s="96">
        <f>IF(I25="Flugzeug",1,0)</f>
        <v>0</v>
      </c>
      <c r="AI25" s="96">
        <f>IF(AH25=1,IF(AND(H25="endete",M25&lt;&gt;""),M25,IF(J25=C25,L25,IF(AND(J25&lt;&gt;C25,K25=C25),L25,IF(AND(C25&lt;&gt;J25,C25&lt;&gt;K25,J25&lt;&gt;"",K25&lt;&gt;""),$AO$3,0)))),0)</f>
        <v>0</v>
      </c>
      <c r="AJ25" s="96">
        <f>IF(AND(AH25=1,C25&lt;&gt;J25,C25=K25,L25=""),1,0)</f>
        <v>0</v>
      </c>
      <c r="AK25" s="96">
        <f>IF(I25="Schiff",1,0)</f>
        <v>0</v>
      </c>
      <c r="AL25" s="96">
        <f>IF(AK25=1,IF(C25=J25,L25,IF(C25=K25,L25,IF(AND(C25&lt;&gt;J25,C25&lt;&gt;K25,J25&lt;&gt;"",K25&lt;&gt;""),$AO$5,0))),0)</f>
        <v>0</v>
      </c>
      <c r="AM25" s="96">
        <f>IF(AND(AK25=1,C25=J25,L25=""),1,0)</f>
        <v>0</v>
      </c>
      <c r="AN25" s="96">
        <f>IF(AND(AK25=1,C25=K25,L25=""),1,0)</f>
        <v>0</v>
      </c>
      <c r="AO25" s="96" t="str">
        <f t="shared" si="22"/>
        <v>Polen (Übriges)</v>
      </c>
      <c r="AP25" s="96">
        <f t="shared" si="19"/>
        <v>3</v>
      </c>
      <c r="AQ25" s="96">
        <f>VLOOKUP(AO25,Pauschalen!$A$1:$D$244,2,FALSE)</f>
        <v>29</v>
      </c>
      <c r="AR25" s="96">
        <f>IF(O25&lt;&gt;"",0.2,0)</f>
        <v>0.2</v>
      </c>
      <c r="AS25" s="96">
        <f>IF(P25&lt;&gt;"",0.4,0)</f>
        <v>0</v>
      </c>
      <c r="AT25" s="96">
        <f>IF(Q25&lt;&gt;"",0.4,0)</f>
        <v>0</v>
      </c>
      <c r="AU25" s="96">
        <f t="shared" si="20"/>
        <v>0.2</v>
      </c>
    </row>
    <row r="26" spans="1:47" s="122" customFormat="1" ht="15" customHeight="1" thickBot="1" x14ac:dyDescent="0.25">
      <c r="A26" s="136"/>
      <c r="B26" s="136"/>
      <c r="C26" s="137" t="s">
        <v>342</v>
      </c>
      <c r="D26" s="138"/>
      <c r="E26" s="138"/>
      <c r="F26" s="138"/>
      <c r="G26" s="138"/>
      <c r="H26" s="138"/>
      <c r="I26" s="138"/>
      <c r="J26" s="138"/>
      <c r="K26" s="138"/>
      <c r="L26" s="139"/>
      <c r="M26" s="139"/>
      <c r="N26" s="140">
        <f>SUM(N11:N25)</f>
        <v>517</v>
      </c>
      <c r="O26" s="141"/>
      <c r="P26" s="141"/>
      <c r="Q26" s="141"/>
      <c r="R26" s="142">
        <f>SUM(R11:R25)</f>
        <v>393.59999999999991</v>
      </c>
      <c r="S26" s="142"/>
      <c r="T26" s="142">
        <f>SUM(T11:T25)</f>
        <v>600</v>
      </c>
      <c r="U26" s="140">
        <f>SUM(U11:U25)</f>
        <v>832</v>
      </c>
      <c r="V26" s="142"/>
      <c r="W26" s="140"/>
      <c r="X26" s="143">
        <f>SUM(X11:X25)</f>
        <v>947.5</v>
      </c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  <c r="AP26" s="96"/>
      <c r="AQ26" s="96"/>
      <c r="AR26" s="96"/>
      <c r="AS26" s="96"/>
      <c r="AT26" s="96"/>
      <c r="AU26" s="96"/>
    </row>
    <row r="27" spans="1:47" s="144" customFormat="1" ht="5.0999999999999996" customHeight="1" thickBot="1" x14ac:dyDescent="0.25">
      <c r="B27" s="145"/>
      <c r="C27" s="146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8"/>
      <c r="O27" s="149"/>
      <c r="P27" s="149"/>
      <c r="Q27" s="149"/>
      <c r="R27" s="11"/>
      <c r="S27" s="11"/>
      <c r="T27" s="147"/>
      <c r="U27" s="150"/>
      <c r="V27" s="150"/>
      <c r="W27" s="150"/>
      <c r="X27" s="147"/>
    </row>
    <row r="28" spans="1:47" s="151" customFormat="1" ht="15" customHeight="1" thickBot="1" x14ac:dyDescent="0.25">
      <c r="C28" s="152" t="str">
        <f>IF(AG3=2,"Verpflegungsmehraufwendungen abzgl. Kürzungen","Verpflegungsmehraufwendungen")</f>
        <v>Verpflegungsmehraufwendungen abzgl. Kürzungen</v>
      </c>
      <c r="D28" s="153"/>
      <c r="E28" s="153"/>
      <c r="F28" s="153"/>
      <c r="G28" s="153"/>
      <c r="H28" s="153"/>
      <c r="I28" s="153"/>
      <c r="J28" s="153"/>
      <c r="K28" s="153"/>
      <c r="L28" s="154" t="str">
        <f>IF(OR($AG$3=1,AND($AG$3=2,$AG$5=2)),"Ansatz mit:",IF($AG$5=1,"Erstattung erfolgt lt. betriebl. Vereinbarung:",""))</f>
        <v>Erstattung erfolgt lt. betriebl. Vereinbarung:</v>
      </c>
      <c r="M28" s="288" t="s">
        <v>341</v>
      </c>
      <c r="N28" s="288"/>
      <c r="O28" s="288"/>
      <c r="P28" s="288"/>
      <c r="Q28" s="288"/>
      <c r="R28" s="288"/>
      <c r="S28" s="15"/>
      <c r="T28" s="40"/>
      <c r="U28" s="15"/>
      <c r="V28" s="15"/>
      <c r="W28" s="273">
        <f>IF(AG5=1,IF(AB28=3,T28,IF(AB28=1,R26,0)),IF(AG3=1,N26,R26))</f>
        <v>393.59999999999991</v>
      </c>
      <c r="X28" s="274"/>
      <c r="Y28" s="155"/>
      <c r="Z28" s="156" t="s">
        <v>312</v>
      </c>
      <c r="AA28" s="157"/>
      <c r="AB28" s="157">
        <f>IF(M28="in Höhe der gesetzlichen Pauschalen",1,IF(M28="mit einem individuellen Betrag in Höhe von:",3,""))</f>
        <v>1</v>
      </c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7"/>
      <c r="AQ28" s="157"/>
      <c r="AR28" s="157"/>
      <c r="AS28" s="157"/>
      <c r="AT28" s="157"/>
      <c r="AU28" s="157"/>
    </row>
    <row r="29" spans="1:47" s="151" customFormat="1" ht="5.0999999999999996" customHeight="1" thickBot="1" x14ac:dyDescent="0.25">
      <c r="C29" s="158"/>
      <c r="D29" s="159"/>
      <c r="E29" s="159"/>
      <c r="F29" s="159"/>
      <c r="G29" s="159"/>
      <c r="H29" s="159"/>
      <c r="I29" s="159"/>
      <c r="J29" s="159"/>
      <c r="K29" s="159"/>
      <c r="L29" s="160"/>
      <c r="M29" s="160"/>
      <c r="N29" s="161"/>
      <c r="Q29" s="2"/>
      <c r="U29" s="162"/>
      <c r="V29" s="162"/>
      <c r="W29" s="162"/>
      <c r="X29" s="163"/>
    </row>
    <row r="30" spans="1:47" s="151" customFormat="1" ht="15" customHeight="1" thickBot="1" x14ac:dyDescent="0.25">
      <c r="C30" s="164" t="s">
        <v>0</v>
      </c>
      <c r="D30" s="165"/>
      <c r="E30" s="165"/>
      <c r="F30" s="165"/>
      <c r="G30" s="165"/>
      <c r="H30" s="165"/>
      <c r="I30" s="165"/>
      <c r="J30" s="154"/>
      <c r="K30" s="154"/>
      <c r="L30" s="154" t="str">
        <f>IF(OR($AG$3=1,AND($AG$3=2,$AG$5=2)),"Ansatz mit:",IF($AG$5=1,"Erstattung erfolgt lt. betriebl. Vereinbarung:",""))</f>
        <v>Erstattung erfolgt lt. betriebl. Vereinbarung:</v>
      </c>
      <c r="M30" s="285" t="s">
        <v>334</v>
      </c>
      <c r="N30" s="285"/>
      <c r="O30" s="285"/>
      <c r="P30" s="285"/>
      <c r="Q30" s="285"/>
      <c r="R30" s="285"/>
      <c r="S30" s="1"/>
      <c r="T30" s="21">
        <v>812</v>
      </c>
      <c r="U30" s="1"/>
      <c r="V30" s="1"/>
      <c r="W30" s="273">
        <f>IF(OR(AG3=0,AG3=1),0,IF(AG5=2,T26,IF(AB30=1,T26,IF(AB30=2,U26,IF(AB30=3,T30,0)))))</f>
        <v>812</v>
      </c>
      <c r="X30" s="274"/>
      <c r="AB30" s="151">
        <f>IF(M30="in Höhe der tatsächlichen Aufwendungen",1,IF(M30="in Höhe der erstattungsfähigen Pauschalen",2,IF(M30="mit einem individuellen Betrag in Höhe von:",3,"")))</f>
        <v>3</v>
      </c>
    </row>
    <row r="31" spans="1:47" s="151" customFormat="1" ht="5.0999999999999996" customHeight="1" thickBot="1" x14ac:dyDescent="0.25">
      <c r="C31" s="166"/>
      <c r="D31" s="167"/>
      <c r="E31" s="167"/>
      <c r="F31" s="167"/>
      <c r="G31" s="167"/>
      <c r="H31" s="167"/>
      <c r="I31" s="167"/>
      <c r="J31" s="167"/>
      <c r="K31" s="168"/>
      <c r="L31" s="169"/>
      <c r="M31" s="169"/>
      <c r="N31" s="161"/>
      <c r="O31" s="3"/>
      <c r="P31" s="3"/>
      <c r="Q31" s="2"/>
      <c r="R31" s="3"/>
      <c r="S31" s="3"/>
      <c r="T31" s="3"/>
      <c r="U31" s="3"/>
      <c r="V31" s="14"/>
      <c r="W31" s="3"/>
      <c r="X31" s="163"/>
    </row>
    <row r="32" spans="1:47" s="151" customFormat="1" ht="15" customHeight="1" thickBot="1" x14ac:dyDescent="0.25">
      <c r="C32" s="170" t="s">
        <v>320</v>
      </c>
      <c r="D32" s="171"/>
      <c r="E32" s="172" t="s">
        <v>321</v>
      </c>
      <c r="F32" s="172"/>
      <c r="G32" s="172"/>
      <c r="H32" s="173" t="s">
        <v>318</v>
      </c>
      <c r="I32" s="174">
        <f>SUMIFS(W11:W25,V11:V25,"pkw")</f>
        <v>384</v>
      </c>
      <c r="J32" s="175"/>
      <c r="K32" s="176"/>
      <c r="L32" s="173" t="str">
        <f>IF(OR($AG$3=1,AND($AG$3=2,$AG$5=2)),"Ansatz mit:",IF($AG$5=1,"Erstattung erfolgt lt. betriebl. Vereinbarung:",""))</f>
        <v>Erstattung erfolgt lt. betriebl. Vereinbarung:</v>
      </c>
      <c r="M32" s="286" t="s">
        <v>319</v>
      </c>
      <c r="N32" s="286"/>
      <c r="O32" s="286"/>
      <c r="P32" s="286"/>
      <c r="Q32" s="286"/>
      <c r="R32" s="177"/>
      <c r="S32" s="178" t="str">
        <f>IF(OR($AG$3=1,AB32=1,AND($AG$3=2,$AG$5=2)),""&amp;AG32&amp;" € / km","€ / km")</f>
        <v>0,3 € / km</v>
      </c>
      <c r="T32" s="19">
        <f>IF(AND($AG$3=2,$AG$5=1),IF(AND(M32&lt;&gt;"",AB32=1),AG32*I32,IF(AND(M32&lt;&gt;"",AB32=3),R32*I32,0)),AG32*I32)</f>
        <v>115.19999999999999</v>
      </c>
      <c r="U32" s="1"/>
      <c r="V32" s="1"/>
      <c r="W32" s="273">
        <f>IF(AND(AG3=1,AG1=1),X26+SUM(T32:T34),IF(AB35=1,X26,IF(AB35=3,T35,0))+SUM(T32:T34))</f>
        <v>1001.2</v>
      </c>
      <c r="X32" s="274"/>
      <c r="AB32" s="151">
        <f>IF(M32="nach dem gesetzlichen km-satz von:",1,IF(M32="mit einem km-satz von:",3,""))</f>
        <v>1</v>
      </c>
      <c r="AF32" s="179" t="s">
        <v>344</v>
      </c>
      <c r="AG32" s="180">
        <v>0.3</v>
      </c>
    </row>
    <row r="33" spans="3:33" s="151" customFormat="1" ht="15" customHeight="1" x14ac:dyDescent="0.2">
      <c r="C33" s="221" t="s">
        <v>369</v>
      </c>
      <c r="D33" s="222"/>
      <c r="E33" s="181" t="s">
        <v>315</v>
      </c>
      <c r="F33" s="181"/>
      <c r="G33" s="181"/>
      <c r="H33" s="168" t="s">
        <v>318</v>
      </c>
      <c r="I33" s="182">
        <f>SUMIFS(W11:W25,V11:V25,"sonst. kfz")</f>
        <v>305</v>
      </c>
      <c r="J33" s="183"/>
      <c r="L33" s="168" t="str">
        <f t="shared" ref="L33:L35" si="25">IF(OR($AG$3=1,AND($AG$3=2,$AG$5=2)),"Ansatz mit:",IF($AG$5=1,"Erstattung erfolgt lt. betriebl. Vereinbarung:",""))</f>
        <v>Erstattung erfolgt lt. betriebl. Vereinbarung:</v>
      </c>
      <c r="M33" s="287" t="s">
        <v>319</v>
      </c>
      <c r="N33" s="287"/>
      <c r="O33" s="287"/>
      <c r="P33" s="287"/>
      <c r="Q33" s="287"/>
      <c r="R33" s="184"/>
      <c r="S33" s="185" t="str">
        <f>IF(OR($AG$3=1,AB33=1,AND($AG$3=2,$AG$5=2)),""&amp;AG33&amp;" € / km","€ / km")</f>
        <v>0,2 € / km</v>
      </c>
      <c r="T33" s="20">
        <f>IF(AND($AG$3=2,$AG$5=1),IF(AND(M33&lt;&gt;"",AB33=1),AG33*I33,IF(AND(M33&lt;&gt;"",AB33=3),R33*I33,0)),AG33*I33)</f>
        <v>61</v>
      </c>
      <c r="U33" s="16"/>
      <c r="V33" s="16"/>
      <c r="W33" s="17"/>
      <c r="X33" s="18"/>
      <c r="AB33" s="151">
        <f>IF(M33="nach dem gesetzlichen km-satz von:",1,IF(M33="mit einem km-satz von:",3,""))</f>
        <v>1</v>
      </c>
      <c r="AF33" s="179" t="s">
        <v>344</v>
      </c>
      <c r="AG33" s="180">
        <v>0.2</v>
      </c>
    </row>
    <row r="34" spans="3:33" s="151" customFormat="1" ht="12.75" customHeight="1" x14ac:dyDescent="0.2">
      <c r="C34" s="223"/>
      <c r="D34" s="222"/>
      <c r="E34" s="181" t="s">
        <v>316</v>
      </c>
      <c r="F34" s="181"/>
      <c r="G34" s="181"/>
      <c r="H34" s="168" t="s">
        <v>318</v>
      </c>
      <c r="I34" s="182">
        <f>SUMIFS(W11:W25,V11:V25,"fahrrad")</f>
        <v>0</v>
      </c>
      <c r="J34" s="186"/>
      <c r="L34" s="168" t="str">
        <f t="shared" si="25"/>
        <v>Erstattung erfolgt lt. betriebl. Vereinbarung:</v>
      </c>
      <c r="M34" s="151" t="str">
        <f>IF($AG$5=1,"mit:","")</f>
        <v>mit:</v>
      </c>
      <c r="N34" s="184"/>
      <c r="O34" s="184"/>
      <c r="P34" s="187"/>
      <c r="Q34" s="187"/>
      <c r="R34" s="188"/>
      <c r="T34" s="189"/>
      <c r="U34" s="190"/>
      <c r="V34" s="190"/>
      <c r="X34" s="163"/>
    </row>
    <row r="35" spans="3:33" s="151" customFormat="1" ht="12" customHeight="1" x14ac:dyDescent="0.2">
      <c r="C35" s="191" t="s">
        <v>370</v>
      </c>
      <c r="J35" s="186"/>
      <c r="L35" s="168" t="str">
        <f t="shared" si="25"/>
        <v>Erstattung erfolgt lt. betriebl. Vereinbarung:</v>
      </c>
      <c r="M35" s="282" t="s">
        <v>334</v>
      </c>
      <c r="N35" s="282"/>
      <c r="O35" s="282"/>
      <c r="P35" s="282"/>
      <c r="Q35" s="282"/>
      <c r="R35" s="282"/>
      <c r="S35" s="188"/>
      <c r="T35" s="192">
        <v>825</v>
      </c>
      <c r="U35" s="190"/>
      <c r="V35" s="190"/>
      <c r="W35" s="190"/>
      <c r="X35" s="163"/>
      <c r="AB35" s="151">
        <f>IF(M35="in Höhe der tatsächlichen Aufwendungen",1,IF(M35="mit einem individuellen Betrag in Höhe von:",3,""))</f>
        <v>3</v>
      </c>
    </row>
    <row r="36" spans="3:33" s="151" customFormat="1" ht="5.0999999999999996" customHeight="1" thickBot="1" x14ac:dyDescent="0.25">
      <c r="C36" s="155"/>
      <c r="L36" s="193"/>
      <c r="M36" s="193"/>
      <c r="N36" s="188"/>
      <c r="Q36" s="188"/>
      <c r="R36" s="188"/>
      <c r="S36" s="188"/>
      <c r="T36" s="188"/>
      <c r="U36" s="190"/>
      <c r="V36" s="190"/>
      <c r="W36" s="190"/>
      <c r="X36" s="163"/>
    </row>
    <row r="37" spans="3:33" s="151" customFormat="1" ht="17.45" customHeight="1" thickBot="1" x14ac:dyDescent="0.25">
      <c r="C37" s="194" t="s">
        <v>230</v>
      </c>
      <c r="D37" s="195"/>
      <c r="E37" s="195"/>
      <c r="F37" s="195"/>
      <c r="G37" s="195"/>
      <c r="H37" s="195"/>
      <c r="I37" s="195" t="str">
        <f>IF((($S$3)="")," ",$S$3)</f>
        <v>1. Quartal</v>
      </c>
      <c r="J37" s="195"/>
      <c r="K37" s="195"/>
      <c r="L37" s="195"/>
      <c r="M37" s="195"/>
      <c r="N37" s="196"/>
      <c r="O37" s="196"/>
      <c r="P37" s="196"/>
      <c r="Q37" s="196"/>
      <c r="R37" s="196"/>
      <c r="S37" s="196"/>
      <c r="T37" s="196"/>
      <c r="U37" s="196"/>
      <c r="V37" s="196"/>
      <c r="W37" s="219">
        <f>W28+W30+W32</f>
        <v>2206.8000000000002</v>
      </c>
      <c r="X37" s="220"/>
    </row>
    <row r="38" spans="3:33" s="197" customFormat="1" ht="12" x14ac:dyDescent="0.2">
      <c r="N38" s="198"/>
      <c r="O38" s="199"/>
      <c r="P38" s="199"/>
      <c r="Q38" s="199"/>
      <c r="R38" s="199"/>
      <c r="S38" s="199"/>
      <c r="U38" s="200"/>
      <c r="V38" s="200"/>
      <c r="W38" s="200"/>
      <c r="X38" s="207" t="s">
        <v>374</v>
      </c>
    </row>
    <row r="39" spans="3:33" s="197" customFormat="1" ht="12" x14ac:dyDescent="0.2">
      <c r="N39" s="198"/>
      <c r="O39" s="199"/>
      <c r="P39" s="199"/>
      <c r="Q39" s="199"/>
      <c r="R39" s="199"/>
      <c r="S39" s="199"/>
      <c r="U39" s="200"/>
      <c r="V39" s="200"/>
      <c r="W39" s="200"/>
    </row>
    <row r="40" spans="3:33" s="197" customFormat="1" ht="12" x14ac:dyDescent="0.2">
      <c r="N40" s="198"/>
      <c r="O40" s="199"/>
      <c r="P40" s="199"/>
      <c r="Q40" s="199"/>
      <c r="R40" s="199"/>
      <c r="S40" s="199"/>
      <c r="U40" s="200"/>
      <c r="V40" s="200"/>
      <c r="W40" s="200"/>
    </row>
    <row r="41" spans="3:33" s="197" customFormat="1" ht="18" x14ac:dyDescent="0.25">
      <c r="C41" s="205" t="s">
        <v>367</v>
      </c>
      <c r="N41" s="198"/>
      <c r="O41" s="199"/>
      <c r="P41" s="199"/>
      <c r="Q41" s="199"/>
      <c r="R41" s="199"/>
      <c r="S41" s="199"/>
      <c r="U41" s="200"/>
      <c r="V41" s="200"/>
      <c r="W41" s="200"/>
    </row>
    <row r="42" spans="3:33" s="197" customFormat="1" ht="12" x14ac:dyDescent="0.2">
      <c r="N42" s="198"/>
      <c r="O42" s="199"/>
      <c r="P42" s="199"/>
      <c r="Q42" s="199"/>
      <c r="R42" s="199"/>
      <c r="S42" s="199"/>
      <c r="U42" s="200"/>
      <c r="V42" s="200"/>
      <c r="W42" s="200"/>
    </row>
    <row r="43" spans="3:33" s="197" customFormat="1" ht="18" x14ac:dyDescent="0.25">
      <c r="C43" s="206" t="s">
        <v>372</v>
      </c>
      <c r="D43" s="205" t="s">
        <v>373</v>
      </c>
      <c r="N43" s="198"/>
      <c r="O43" s="199"/>
      <c r="P43" s="199"/>
      <c r="Q43" s="199"/>
      <c r="R43" s="199"/>
      <c r="S43" s="199"/>
      <c r="U43" s="200"/>
      <c r="V43" s="200"/>
      <c r="W43" s="200"/>
    </row>
    <row r="44" spans="3:33" s="197" customFormat="1" ht="12" x14ac:dyDescent="0.2">
      <c r="N44" s="198"/>
      <c r="O44" s="199"/>
      <c r="P44" s="199"/>
      <c r="Q44" s="199"/>
      <c r="R44" s="199"/>
      <c r="S44" s="199"/>
      <c r="U44" s="200"/>
      <c r="V44" s="200"/>
      <c r="W44" s="200"/>
    </row>
    <row r="45" spans="3:33" s="197" customFormat="1" ht="12" x14ac:dyDescent="0.2">
      <c r="N45" s="198"/>
      <c r="O45" s="199"/>
      <c r="P45" s="199"/>
      <c r="Q45" s="199"/>
      <c r="R45" s="199"/>
      <c r="S45" s="199"/>
      <c r="U45" s="200"/>
      <c r="V45" s="200"/>
      <c r="W45" s="200"/>
    </row>
    <row r="46" spans="3:33" s="197" customFormat="1" ht="12" x14ac:dyDescent="0.2">
      <c r="N46" s="198"/>
      <c r="O46" s="199"/>
      <c r="P46" s="199"/>
      <c r="Q46" s="199"/>
      <c r="R46" s="199"/>
      <c r="S46" s="199"/>
      <c r="U46" s="200"/>
      <c r="V46" s="200"/>
      <c r="W46" s="200"/>
    </row>
    <row r="47" spans="3:33" s="197" customFormat="1" ht="12" x14ac:dyDescent="0.2">
      <c r="N47" s="198"/>
      <c r="O47" s="199"/>
      <c r="P47" s="199"/>
      <c r="Q47" s="199"/>
      <c r="R47" s="199"/>
      <c r="S47" s="199"/>
      <c r="U47" s="200"/>
      <c r="V47" s="200"/>
      <c r="W47" s="200"/>
    </row>
    <row r="48" spans="3:33" s="197" customFormat="1" ht="12" x14ac:dyDescent="0.2">
      <c r="N48" s="198"/>
      <c r="O48" s="199"/>
      <c r="P48" s="199"/>
      <c r="Q48" s="199"/>
      <c r="R48" s="199"/>
      <c r="S48" s="199"/>
      <c r="U48" s="200"/>
      <c r="V48" s="200"/>
      <c r="W48" s="200"/>
    </row>
    <row r="49" spans="3:23" s="197" customFormat="1" ht="12" x14ac:dyDescent="0.2">
      <c r="N49" s="198"/>
      <c r="O49" s="199"/>
      <c r="P49" s="199"/>
      <c r="Q49" s="199"/>
      <c r="R49" s="199"/>
      <c r="S49" s="199"/>
      <c r="U49" s="200"/>
      <c r="V49" s="200"/>
      <c r="W49" s="200"/>
    </row>
    <row r="50" spans="3:23" s="197" customFormat="1" ht="12" x14ac:dyDescent="0.2">
      <c r="N50" s="198"/>
      <c r="O50" s="199"/>
      <c r="P50" s="199"/>
      <c r="Q50" s="199"/>
      <c r="R50" s="199"/>
      <c r="S50" s="199"/>
      <c r="U50" s="200"/>
      <c r="V50" s="200"/>
      <c r="W50" s="200"/>
    </row>
    <row r="51" spans="3:23" s="197" customFormat="1" ht="12" x14ac:dyDescent="0.2">
      <c r="N51" s="198"/>
      <c r="O51" s="199"/>
      <c r="P51" s="199"/>
      <c r="Q51" s="199"/>
      <c r="R51" s="199"/>
      <c r="S51" s="199"/>
      <c r="U51" s="200"/>
      <c r="V51" s="200"/>
      <c r="W51" s="200"/>
    </row>
    <row r="52" spans="3:23" s="198" customFormat="1" ht="12" x14ac:dyDescent="0.2">
      <c r="C52" s="197"/>
      <c r="D52" s="197"/>
      <c r="E52" s="197"/>
      <c r="F52" s="197"/>
      <c r="G52" s="197"/>
      <c r="H52" s="197"/>
      <c r="I52" s="197"/>
      <c r="J52" s="197"/>
      <c r="K52" s="197"/>
      <c r="L52" s="197"/>
      <c r="M52" s="197"/>
      <c r="O52" s="199"/>
      <c r="P52" s="199"/>
      <c r="Q52" s="199"/>
      <c r="R52" s="199"/>
      <c r="S52" s="199"/>
      <c r="T52" s="197"/>
      <c r="U52" s="200"/>
      <c r="V52" s="200"/>
      <c r="W52" s="200"/>
    </row>
    <row r="53" spans="3:23" s="198" customFormat="1" ht="12" x14ac:dyDescent="0.2"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O53" s="199"/>
      <c r="P53" s="199"/>
      <c r="Q53" s="199"/>
      <c r="R53" s="199"/>
      <c r="S53" s="199"/>
      <c r="T53" s="197"/>
      <c r="U53" s="200"/>
      <c r="V53" s="200"/>
      <c r="W53" s="200"/>
    </row>
    <row r="54" spans="3:23" s="197" customFormat="1" ht="12" x14ac:dyDescent="0.2">
      <c r="N54" s="198"/>
      <c r="O54" s="199"/>
      <c r="P54" s="199"/>
      <c r="Q54" s="199"/>
      <c r="R54" s="199"/>
      <c r="S54" s="199"/>
      <c r="U54" s="200"/>
      <c r="V54" s="200"/>
      <c r="W54" s="200"/>
    </row>
    <row r="55" spans="3:23" s="197" customFormat="1" ht="12" x14ac:dyDescent="0.2">
      <c r="N55" s="198"/>
      <c r="O55" s="199"/>
      <c r="P55" s="199"/>
      <c r="Q55" s="199"/>
      <c r="R55" s="199"/>
      <c r="S55" s="199"/>
      <c r="U55" s="200"/>
      <c r="V55" s="200"/>
      <c r="W55" s="200"/>
    </row>
    <row r="56" spans="3:23" s="198" customFormat="1" ht="12" x14ac:dyDescent="0.2">
      <c r="C56" s="197"/>
      <c r="D56" s="197"/>
      <c r="E56" s="197"/>
      <c r="F56" s="197"/>
      <c r="G56" s="197"/>
      <c r="H56" s="197"/>
      <c r="I56" s="197"/>
      <c r="J56" s="197"/>
      <c r="K56" s="197"/>
      <c r="L56" s="197"/>
      <c r="M56" s="197"/>
      <c r="O56" s="199"/>
      <c r="P56" s="199"/>
      <c r="Q56" s="199"/>
      <c r="R56" s="199"/>
      <c r="S56" s="199"/>
      <c r="T56" s="197"/>
      <c r="U56" s="200"/>
      <c r="V56" s="200"/>
      <c r="W56" s="200"/>
    </row>
    <row r="57" spans="3:23" s="201" customFormat="1" x14ac:dyDescent="0.2">
      <c r="C57"/>
      <c r="D57"/>
      <c r="E57"/>
      <c r="F57"/>
      <c r="G57"/>
      <c r="H57"/>
      <c r="I57"/>
      <c r="J57"/>
      <c r="K57"/>
      <c r="L57"/>
      <c r="M57"/>
      <c r="O57" s="202"/>
      <c r="P57" s="202"/>
      <c r="Q57" s="202"/>
      <c r="R57" s="202"/>
      <c r="S57" s="202"/>
      <c r="T57"/>
      <c r="U57" s="58"/>
      <c r="V57" s="58"/>
      <c r="W57" s="58"/>
    </row>
  </sheetData>
  <sheetProtection algorithmName="SHA-512" hashValue="uXvsOL4J+0oha+FfkkGZipsjHLJ5Uia7bVEhROmvALwb97MPAfjzCCMd86Cvj3wvz3e1FJEmwR6q0J+QSL3IIg==" saltValue="+8nDwit5YAKptb/in4LFsA==" spinCount="100000" sheet="1" selectLockedCells="1"/>
  <mergeCells count="52">
    <mergeCell ref="M35:R35"/>
    <mergeCell ref="W37:X37"/>
    <mergeCell ref="A12:B13"/>
    <mergeCell ref="M30:R30"/>
    <mergeCell ref="W30:X30"/>
    <mergeCell ref="M32:Q32"/>
    <mergeCell ref="W32:X32"/>
    <mergeCell ref="C33:D34"/>
    <mergeCell ref="M33:Q33"/>
    <mergeCell ref="A22:B22"/>
    <mergeCell ref="A23:B23"/>
    <mergeCell ref="A24:B24"/>
    <mergeCell ref="A25:B25"/>
    <mergeCell ref="M28:R28"/>
    <mergeCell ref="W28:X28"/>
    <mergeCell ref="A16:B16"/>
    <mergeCell ref="A17:B17"/>
    <mergeCell ref="A18:B18"/>
    <mergeCell ref="A19:B19"/>
    <mergeCell ref="A20:B20"/>
    <mergeCell ref="A21:B21"/>
    <mergeCell ref="A10:B10"/>
    <mergeCell ref="A11:B11"/>
    <mergeCell ref="A14:B14"/>
    <mergeCell ref="A15:B15"/>
    <mergeCell ref="AF9:AG9"/>
    <mergeCell ref="A9:B9"/>
    <mergeCell ref="F9:G9"/>
    <mergeCell ref="O9:Q9"/>
    <mergeCell ref="V9:W9"/>
    <mergeCell ref="Z9:AA9"/>
    <mergeCell ref="AB9:AE9"/>
    <mergeCell ref="AH9:AJ9"/>
    <mergeCell ref="AK9:AN9"/>
    <mergeCell ref="AO9:AP9"/>
    <mergeCell ref="AQ9:AU9"/>
    <mergeCell ref="AV9:AW9"/>
    <mergeCell ref="C7:N7"/>
    <mergeCell ref="O7:R8"/>
    <mergeCell ref="S7:U8"/>
    <mergeCell ref="V7:X8"/>
    <mergeCell ref="C8:E8"/>
    <mergeCell ref="F8:H8"/>
    <mergeCell ref="I8:K8"/>
    <mergeCell ref="L8:M8"/>
    <mergeCell ref="A1:B1"/>
    <mergeCell ref="E3:J3"/>
    <mergeCell ref="M3:R3"/>
    <mergeCell ref="S3:W3"/>
    <mergeCell ref="E5:J5"/>
    <mergeCell ref="M5:R5"/>
    <mergeCell ref="S5:W5"/>
  </mergeCells>
  <conditionalFormatting sqref="A11:B11 A20:B25">
    <cfRule type="expression" dxfId="25" priority="2">
      <formula>A11:B11&lt;&gt;""</formula>
    </cfRule>
  </conditionalFormatting>
  <conditionalFormatting sqref="C11:X25">
    <cfRule type="expression" dxfId="24" priority="3">
      <formula>OR(AND($E11="mehrtägigen",$H11="begann"),AND($E11="mehrtägigen",$H11=""))</formula>
    </cfRule>
  </conditionalFormatting>
  <conditionalFormatting sqref="F11:G25">
    <cfRule type="expression" dxfId="23" priority="1">
      <formula>$E11="mehrtägigen"</formula>
    </cfRule>
  </conditionalFormatting>
  <conditionalFormatting sqref="H11:L25">
    <cfRule type="expression" dxfId="22" priority="6">
      <formula>$AB11=1</formula>
    </cfRule>
  </conditionalFormatting>
  <conditionalFormatting sqref="H26:M26">
    <cfRule type="expression" dxfId="21" priority="18">
      <formula>$AB26=1</formula>
    </cfRule>
  </conditionalFormatting>
  <conditionalFormatting sqref="J30:L30 K31 L32:L35">
    <cfRule type="expression" dxfId="20" priority="17">
      <formula>$AG$5=1</formula>
    </cfRule>
  </conditionalFormatting>
  <conditionalFormatting sqref="K11:K25">
    <cfRule type="expression" dxfId="19" priority="7">
      <formula>AND(AH11=1,J11=C11)</formula>
    </cfRule>
    <cfRule type="expression" dxfId="18" priority="8">
      <formula>AND(AH11=1,J11&lt;&gt;C11,J11&lt;&gt;"",K11="")</formula>
    </cfRule>
    <cfRule type="expression" dxfId="17" priority="9">
      <formula>AND(AK11=1,C11&lt;&gt;J11,J11&lt;&gt;"",K11="")</formula>
    </cfRule>
    <cfRule type="expression" dxfId="16" priority="10">
      <formula>AM11=1</formula>
    </cfRule>
  </conditionalFormatting>
  <conditionalFormatting sqref="K26">
    <cfRule type="expression" dxfId="15" priority="23">
      <formula>AND(AH26=1,J26&lt;&gt;C26,J26&lt;&gt;"",K26="")</formula>
    </cfRule>
    <cfRule type="expression" dxfId="14" priority="24">
      <formula>AND(AK26=1,C26&lt;&gt;J26,J26&lt;&gt;"",K26="")</formula>
    </cfRule>
    <cfRule type="expression" dxfId="13" priority="25">
      <formula>AM26=1</formula>
    </cfRule>
  </conditionalFormatting>
  <conditionalFormatting sqref="L11:L25">
    <cfRule type="expression" dxfId="12" priority="11">
      <formula>AND(AK11=1,J11&lt;&gt;"",K11&lt;&gt;"",C11&lt;&gt;J11,C11&lt;&gt;K11)</formula>
    </cfRule>
    <cfRule type="expression" dxfId="11" priority="12">
      <formula>AND(L11="",OR(AJ11=1,AM11=1,AN11=1))</formula>
    </cfRule>
  </conditionalFormatting>
  <conditionalFormatting sqref="L28">
    <cfRule type="expression" dxfId="10" priority="14">
      <formula>$AG$5=1</formula>
    </cfRule>
  </conditionalFormatting>
  <conditionalFormatting sqref="L26:M26">
    <cfRule type="expression" dxfId="9" priority="26">
      <formula>AND(AK26=1,J26&lt;&gt;"",K26&lt;&gt;"",C26&lt;&gt;J26,C26&lt;&gt;K26)</formula>
    </cfRule>
    <cfRule type="expression" dxfId="8" priority="27">
      <formula>AND(L26="",OR(AJ26=1,AM26=1,AN26=1))</formula>
    </cfRule>
  </conditionalFormatting>
  <conditionalFormatting sqref="M11:M26">
    <cfRule type="expression" dxfId="7" priority="5">
      <formula>AND(E11="mehrtägigen",H11&lt;&gt;"endete")</formula>
    </cfRule>
  </conditionalFormatting>
  <conditionalFormatting sqref="M28:R28 M30:R30 M32:Q33 M35">
    <cfRule type="expression" dxfId="6" priority="19">
      <formula>AND($AG$3=2,$AG$5=1)</formula>
    </cfRule>
  </conditionalFormatting>
  <conditionalFormatting sqref="N11:N26">
    <cfRule type="cellIs" dxfId="5" priority="21" operator="greaterThan">
      <formula>0</formula>
    </cfRule>
  </conditionalFormatting>
  <conditionalFormatting sqref="O11:Q25 S11:T25">
    <cfRule type="expression" dxfId="4" priority="4">
      <formula>$AG$3&lt;&gt;2</formula>
    </cfRule>
  </conditionalFormatting>
  <conditionalFormatting sqref="R11:R25">
    <cfRule type="cellIs" dxfId="3" priority="22" stopIfTrue="1" operator="lessThanOrEqual">
      <formula>0</formula>
    </cfRule>
  </conditionalFormatting>
  <conditionalFormatting sqref="R32:R33">
    <cfRule type="expression" dxfId="2" priority="16">
      <formula>AND($AG$5=1,AB32=3)</formula>
    </cfRule>
  </conditionalFormatting>
  <conditionalFormatting sqref="S5:W5">
    <cfRule type="expression" dxfId="1" priority="13">
      <formula>$AG$3=1</formula>
    </cfRule>
  </conditionalFormatting>
  <conditionalFormatting sqref="T28 T30 T35">
    <cfRule type="expression" dxfId="0" priority="15">
      <formula>AND($AG$5=1,$AB28=3)</formula>
    </cfRule>
  </conditionalFormatting>
  <dataValidations count="13">
    <dataValidation type="list" allowBlank="1" showInputMessage="1" showErrorMessage="1" sqref="M35" xr:uid="{E74136FB-BB1D-40EE-A981-9FD1679F3D44}">
      <formula1>"in Höhe der tatsächlichen Aufwendungen,mit einem individuellen Betrag in Höhe von:"</formula1>
    </dataValidation>
    <dataValidation type="list" allowBlank="1" showInputMessage="1" showErrorMessage="1" sqref="M28:R28" xr:uid="{EF3A6CB5-896B-4149-AE38-CF220DE3A1AD}">
      <formula1>"in Höhe der gesetzlichen Pauschalen,mit einem individuellen Betrag in Höhe von:"</formula1>
    </dataValidation>
    <dataValidation type="list" allowBlank="1" showInputMessage="1" showErrorMessage="1" sqref="E5:G5" xr:uid="{7400F21F-8866-41DC-B14F-B1ACD9C4083E}">
      <formula1>"Unternehmer,Arbeitnehmer"</formula1>
    </dataValidation>
    <dataValidation type="list" allowBlank="1" showInputMessage="1" showErrorMessage="1" sqref="M32:M33" xr:uid="{4700639C-2DA0-4C0C-B85D-0F761055C28F}">
      <formula1>"nach dem gesetzlichen km-Satz von:,mit einem km-Satz von:"</formula1>
    </dataValidation>
    <dataValidation type="list" allowBlank="1" showInputMessage="1" showErrorMessage="1" sqref="S5:W5" xr:uid="{F2F36320-644F-4A90-BB37-A2ABA037E895}">
      <formula1>"Meinen Arbeitgeber,Meine Einkommensteuererklärung"</formula1>
    </dataValidation>
    <dataValidation type="list" allowBlank="1" showInputMessage="1" showErrorMessage="1" sqref="M30" xr:uid="{C2DFA483-BD93-4F17-BA61-702C1FFB849C}">
      <formula1>"in Höhe der tatsächlichen Aufwendungen,in Höhe der erstattungsfähigen Pauschalen,mit einem individuellen Betrag in Höhe von:"</formula1>
    </dataValidation>
    <dataValidation type="list" allowBlank="1" showInputMessage="1" showErrorMessage="1" sqref="H11:H26" xr:uid="{9CB63863-B7F8-46D4-80C4-45A4F00C3420}">
      <formula1>"begann,endete"</formula1>
    </dataValidation>
    <dataValidation type="list" allowBlank="1" showInputMessage="1" showErrorMessage="1" sqref="V11:V26" xr:uid="{8542661A-6F45-4472-98E5-4AC9894EB353}">
      <formula1>"PKW,sonst. Kfz,Fahrrad"</formula1>
    </dataValidation>
    <dataValidation type="list" allowBlank="1" showInputMessage="1" showErrorMessage="1" sqref="I11:I26" xr:uid="{703652F3-BD2D-4E9C-8100-E94BA0F27760}">
      <formula1>"Abreise,Rückkehr"</formula1>
    </dataValidation>
    <dataValidation type="list" allowBlank="1" showInputMessage="1" showErrorMessage="1" sqref="O11:Q26" xr:uid="{C0D0E593-633A-4BC3-B30A-B7298F06AB1A}">
      <formula1>"Ja"</formula1>
    </dataValidation>
    <dataValidation type="list" allowBlank="1" showInputMessage="1" showErrorMessage="1" sqref="I11:I26" xr:uid="{DDD632A4-59FF-49AA-9B48-184503604770}">
      <formula1>"Flugzeug,Schiff"</formula1>
    </dataValidation>
    <dataValidation type="list" allowBlank="1" showInputMessage="1" showErrorMessage="1" sqref="E11:E26 F26:G26" xr:uid="{B34F8D25-0F46-4C0F-A36C-2050C8A3D9B8}">
      <formula1>"eintägigen,mehrtägigen"</formula1>
    </dataValidation>
    <dataValidation type="list" allowBlank="1" showInputMessage="1" showErrorMessage="1" sqref="N6" xr:uid="{1A8A461C-6D45-4A1F-8D27-889393D56500}">
      <formula1>Liste_DMII</formula1>
    </dataValidation>
  </dataValidations>
  <hyperlinks>
    <hyperlink ref="A10" location="Bearbeitungshinweise!A1" display="Bearbeitungshinweise" xr:uid="{25D99E6C-00C6-437C-9599-14B621EE9333}"/>
    <hyperlink ref="A10:B10" location="Reisekostenabrechnung!A1" display="Reisekostenabrechnung!A1" xr:uid="{ADDD52DA-7333-451E-924F-062F2D0445CF}"/>
  </hyperlinks>
  <pageMargins left="0.78740157480314965" right="0.47244094488188981" top="0.74803149606299213" bottom="0.23622047244094491" header="0.31496062992125984" footer="0.15748031496062992"/>
  <pageSetup paperSize="9" scale="66" fitToHeight="0" orientation="landscape" blackAndWhite="1" r:id="rId1"/>
  <headerFooter alignWithMargins="0">
    <oddHeader>&amp;R&amp;G</oddHeader>
  </headerFooter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65F8278-6DDE-4D2C-9A0E-4ED31248056B}">
          <x14:formula1>
            <xm:f>Pauschalen!$A$3:$A$241</xm:f>
          </x14:formula1>
          <xm:sqref>L11:M26 S11:S26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45"/>
  <sheetViews>
    <sheetView workbookViewId="0">
      <pane ySplit="2" topLeftCell="A3" activePane="bottomLeft" state="frozen"/>
      <selection activeCell="C38" sqref="C38:C39"/>
      <selection pane="bottomLeft" sqref="A1:XFD1048576"/>
    </sheetView>
  </sheetViews>
  <sheetFormatPr baseColWidth="10" defaultRowHeight="15" x14ac:dyDescent="0.25"/>
  <cols>
    <col min="1" max="1" width="35.28515625" style="26" customWidth="1"/>
    <col min="2" max="4" width="15.7109375" style="37" customWidth="1"/>
    <col min="5" max="16384" width="11.42578125" style="26"/>
  </cols>
  <sheetData>
    <row r="1" spans="1:5" ht="45" customHeight="1" x14ac:dyDescent="0.25">
      <c r="A1" s="24">
        <v>1</v>
      </c>
      <c r="B1" s="25">
        <v>2</v>
      </c>
      <c r="C1" s="25">
        <v>3</v>
      </c>
      <c r="D1" s="24">
        <v>4</v>
      </c>
      <c r="E1" s="24">
        <v>5</v>
      </c>
    </row>
    <row r="2" spans="1:5" ht="35.25" customHeight="1" x14ac:dyDescent="0.25">
      <c r="A2" s="27" t="s">
        <v>224</v>
      </c>
      <c r="B2" s="28" t="s">
        <v>282</v>
      </c>
      <c r="C2" s="28" t="s">
        <v>283</v>
      </c>
      <c r="D2" s="28" t="s">
        <v>3</v>
      </c>
      <c r="E2" s="28" t="s">
        <v>362</v>
      </c>
    </row>
    <row r="3" spans="1:5" ht="15.75" customHeight="1" x14ac:dyDescent="0.25">
      <c r="A3" s="29" t="s">
        <v>4</v>
      </c>
      <c r="B3" s="30">
        <v>30</v>
      </c>
      <c r="C3" s="30">
        <v>20</v>
      </c>
      <c r="D3" s="30">
        <v>95</v>
      </c>
      <c r="E3" s="37"/>
    </row>
    <row r="4" spans="1:5" ht="15.75" customHeight="1" x14ac:dyDescent="0.25">
      <c r="A4" s="29" t="s">
        <v>5</v>
      </c>
      <c r="B4" s="30">
        <v>50</v>
      </c>
      <c r="C4" s="30">
        <v>33</v>
      </c>
      <c r="D4" s="30">
        <v>112</v>
      </c>
      <c r="E4" s="37"/>
    </row>
    <row r="5" spans="1:5" ht="15.75" customHeight="1" x14ac:dyDescent="0.25">
      <c r="A5" s="29" t="s">
        <v>6</v>
      </c>
      <c r="B5" s="30">
        <v>39</v>
      </c>
      <c r="C5" s="30">
        <v>26</v>
      </c>
      <c r="D5" s="30">
        <v>130</v>
      </c>
      <c r="E5" s="37"/>
    </row>
    <row r="6" spans="1:5" ht="15.75" customHeight="1" x14ac:dyDescent="0.25">
      <c r="A6" s="29" t="s">
        <v>225</v>
      </c>
      <c r="B6" s="45">
        <v>42</v>
      </c>
      <c r="C6" s="45">
        <v>28</v>
      </c>
      <c r="D6" s="30">
        <v>166</v>
      </c>
      <c r="E6" s="37"/>
    </row>
    <row r="7" spans="1:5" ht="15.75" customHeight="1" x14ac:dyDescent="0.25">
      <c r="A7" s="29" t="s">
        <v>8</v>
      </c>
      <c r="B7" s="30">
        <v>27</v>
      </c>
      <c r="C7" s="30">
        <v>18</v>
      </c>
      <c r="D7" s="30">
        <v>112</v>
      </c>
      <c r="E7" s="37"/>
    </row>
    <row r="8" spans="1:5" ht="15.75" customHeight="1" x14ac:dyDescent="0.25">
      <c r="A8" s="29" t="s">
        <v>9</v>
      </c>
      <c r="B8" s="30">
        <v>47</v>
      </c>
      <c r="C8" s="30">
        <v>32</v>
      </c>
      <c r="D8" s="30">
        <v>120</v>
      </c>
      <c r="E8" s="37"/>
    </row>
    <row r="9" spans="1:5" ht="15.75" customHeight="1" x14ac:dyDescent="0.25">
      <c r="A9" s="29" t="s">
        <v>10</v>
      </c>
      <c r="B9" s="30">
        <v>41</v>
      </c>
      <c r="C9" s="30">
        <v>28</v>
      </c>
      <c r="D9" s="30">
        <v>91</v>
      </c>
      <c r="E9" s="37"/>
    </row>
    <row r="10" spans="1:5" ht="15.75" customHeight="1" x14ac:dyDescent="0.25">
      <c r="A10" s="29" t="s">
        <v>11</v>
      </c>
      <c r="B10" s="30">
        <v>52</v>
      </c>
      <c r="C10" s="30">
        <v>35</v>
      </c>
      <c r="D10" s="30">
        <v>299</v>
      </c>
      <c r="E10" s="37"/>
    </row>
    <row r="11" spans="1:5" ht="15.75" customHeight="1" x14ac:dyDescent="0.25">
      <c r="A11" s="29" t="s">
        <v>12</v>
      </c>
      <c r="B11" s="30">
        <v>45</v>
      </c>
      <c r="C11" s="30">
        <v>30</v>
      </c>
      <c r="D11" s="30">
        <v>177</v>
      </c>
      <c r="E11" s="37"/>
    </row>
    <row r="12" spans="1:5" ht="15.75" customHeight="1" x14ac:dyDescent="0.25">
      <c r="A12" s="29" t="s">
        <v>13</v>
      </c>
      <c r="B12" s="30">
        <v>35</v>
      </c>
      <c r="C12" s="30">
        <v>24</v>
      </c>
      <c r="D12" s="30">
        <v>113</v>
      </c>
      <c r="E12" s="37"/>
    </row>
    <row r="13" spans="1:5" ht="15.75" customHeight="1" x14ac:dyDescent="0.25">
      <c r="A13" s="29" t="s">
        <v>14</v>
      </c>
      <c r="B13" s="30">
        <v>24</v>
      </c>
      <c r="C13" s="30">
        <v>16</v>
      </c>
      <c r="D13" s="30">
        <v>59</v>
      </c>
      <c r="E13" s="37"/>
    </row>
    <row r="14" spans="1:5" ht="15.75" customHeight="1" x14ac:dyDescent="0.25">
      <c r="A14" s="29" t="s">
        <v>15</v>
      </c>
      <c r="B14" s="30">
        <v>44</v>
      </c>
      <c r="C14" s="30">
        <v>29</v>
      </c>
      <c r="D14" s="30">
        <v>88</v>
      </c>
      <c r="E14" s="37"/>
    </row>
    <row r="15" spans="1:5" ht="15.75" customHeight="1" x14ac:dyDescent="0.25">
      <c r="A15" s="29" t="s">
        <v>222</v>
      </c>
      <c r="B15" s="45">
        <v>74</v>
      </c>
      <c r="C15" s="45">
        <v>49</v>
      </c>
      <c r="D15" s="45">
        <v>186</v>
      </c>
      <c r="E15" s="37"/>
    </row>
    <row r="16" spans="1:5" ht="15.75" customHeight="1" x14ac:dyDescent="0.25">
      <c r="A16" s="29" t="s">
        <v>221</v>
      </c>
      <c r="B16" s="45">
        <v>57</v>
      </c>
      <c r="C16" s="45">
        <v>38</v>
      </c>
      <c r="D16" s="45">
        <v>173</v>
      </c>
      <c r="E16" s="37"/>
    </row>
    <row r="17" spans="1:5" ht="15.75" customHeight="1" x14ac:dyDescent="0.25">
      <c r="A17" s="29" t="s">
        <v>223</v>
      </c>
      <c r="B17" s="45">
        <v>57</v>
      </c>
      <c r="C17" s="45">
        <v>38</v>
      </c>
      <c r="D17" s="45">
        <v>173</v>
      </c>
      <c r="E17" s="37"/>
    </row>
    <row r="18" spans="1:5" ht="15.75" customHeight="1" x14ac:dyDescent="0.25">
      <c r="A18" s="29" t="s">
        <v>16</v>
      </c>
      <c r="B18" s="30">
        <v>48</v>
      </c>
      <c r="C18" s="30">
        <v>32</v>
      </c>
      <c r="D18" s="30">
        <v>153</v>
      </c>
      <c r="E18" s="37"/>
    </row>
    <row r="19" spans="1:5" ht="15.75" customHeight="1" x14ac:dyDescent="0.25">
      <c r="A19" s="29" t="s">
        <v>17</v>
      </c>
      <c r="B19" s="30">
        <v>50</v>
      </c>
      <c r="C19" s="30">
        <v>33</v>
      </c>
      <c r="D19" s="30">
        <v>165</v>
      </c>
      <c r="E19" s="37"/>
    </row>
    <row r="20" spans="1:5" ht="15.75" customHeight="1" x14ac:dyDescent="0.25">
      <c r="A20" s="29" t="s">
        <v>18</v>
      </c>
      <c r="B20" s="45">
        <v>54</v>
      </c>
      <c r="C20" s="45">
        <v>36</v>
      </c>
      <c r="D20" s="45">
        <v>206</v>
      </c>
      <c r="E20" s="37"/>
    </row>
    <row r="21" spans="1:5" ht="15.75" customHeight="1" x14ac:dyDescent="0.25">
      <c r="A21" s="29" t="s">
        <v>19</v>
      </c>
      <c r="B21" s="30">
        <v>59</v>
      </c>
      <c r="C21" s="30">
        <v>40</v>
      </c>
      <c r="D21" s="30">
        <v>141</v>
      </c>
      <c r="E21" s="37"/>
    </row>
    <row r="22" spans="1:5" ht="15.75" customHeight="1" x14ac:dyDescent="0.25">
      <c r="A22" s="29" t="s">
        <v>20</v>
      </c>
      <c r="B22" s="30">
        <v>52</v>
      </c>
      <c r="C22" s="30">
        <v>35</v>
      </c>
      <c r="D22" s="30">
        <v>115</v>
      </c>
      <c r="E22" s="37"/>
    </row>
    <row r="23" spans="1:5" ht="15.75" customHeight="1" x14ac:dyDescent="0.25">
      <c r="A23" s="29" t="s">
        <v>21</v>
      </c>
      <c r="B23" s="30">
        <v>46</v>
      </c>
      <c r="C23" s="30">
        <v>31</v>
      </c>
      <c r="D23" s="30">
        <v>108</v>
      </c>
      <c r="E23" s="37"/>
    </row>
    <row r="24" spans="1:5" ht="15.75" customHeight="1" x14ac:dyDescent="0.25">
      <c r="A24" s="29" t="s">
        <v>220</v>
      </c>
      <c r="B24" s="30">
        <v>23</v>
      </c>
      <c r="C24" s="30">
        <v>16</v>
      </c>
      <c r="D24" s="30">
        <v>75</v>
      </c>
      <c r="E24" s="37"/>
    </row>
    <row r="25" spans="1:5" ht="15.75" customHeight="1" x14ac:dyDescent="0.25">
      <c r="A25" s="29" t="s">
        <v>22</v>
      </c>
      <c r="B25" s="30">
        <v>46</v>
      </c>
      <c r="C25" s="30">
        <v>31</v>
      </c>
      <c r="D25" s="30">
        <v>176</v>
      </c>
      <c r="E25" s="37"/>
    </row>
    <row r="26" spans="1:5" ht="15.75" customHeight="1" x14ac:dyDescent="0.25">
      <c r="A26" s="29" t="s">
        <v>218</v>
      </c>
      <c r="B26" s="45">
        <v>51</v>
      </c>
      <c r="C26" s="45">
        <v>34</v>
      </c>
      <c r="D26" s="45">
        <v>88</v>
      </c>
      <c r="E26" s="37"/>
    </row>
    <row r="27" spans="1:5" ht="15.75" customHeight="1" x14ac:dyDescent="0.25">
      <c r="A27" s="29" t="s">
        <v>217</v>
      </c>
      <c r="B27" s="45">
        <v>69</v>
      </c>
      <c r="C27" s="45">
        <v>46</v>
      </c>
      <c r="D27" s="45">
        <v>140</v>
      </c>
      <c r="E27" s="37"/>
    </row>
    <row r="28" spans="1:5" ht="15.75" customHeight="1" x14ac:dyDescent="0.25">
      <c r="A28" s="29" t="s">
        <v>216</v>
      </c>
      <c r="B28" s="45">
        <v>46</v>
      </c>
      <c r="C28" s="45">
        <v>31</v>
      </c>
      <c r="D28" s="45">
        <v>151</v>
      </c>
      <c r="E28" s="37"/>
    </row>
    <row r="29" spans="1:5" ht="15.75" customHeight="1" x14ac:dyDescent="0.25">
      <c r="A29" s="29" t="s">
        <v>219</v>
      </c>
      <c r="B29" s="45">
        <v>46</v>
      </c>
      <c r="C29" s="45">
        <v>31</v>
      </c>
      <c r="D29" s="45">
        <v>88</v>
      </c>
      <c r="E29" s="37"/>
    </row>
    <row r="30" spans="1:5" ht="15.75" customHeight="1" x14ac:dyDescent="0.25">
      <c r="A30" s="29" t="s">
        <v>23</v>
      </c>
      <c r="B30" s="30">
        <v>52</v>
      </c>
      <c r="C30" s="30">
        <v>35</v>
      </c>
      <c r="D30" s="30">
        <v>106</v>
      </c>
      <c r="E30" s="37"/>
    </row>
    <row r="31" spans="1:5" ht="15.75" customHeight="1" x14ac:dyDescent="0.25">
      <c r="A31" s="29" t="s">
        <v>24</v>
      </c>
      <c r="B31" s="30">
        <v>22</v>
      </c>
      <c r="C31" s="30">
        <v>15</v>
      </c>
      <c r="D31" s="30">
        <v>115</v>
      </c>
      <c r="E31" s="37"/>
    </row>
    <row r="32" spans="1:5" ht="15.75" customHeight="1" x14ac:dyDescent="0.25">
      <c r="A32" s="29" t="s">
        <v>25</v>
      </c>
      <c r="B32" s="30">
        <v>38</v>
      </c>
      <c r="C32" s="30">
        <v>25</v>
      </c>
      <c r="D32" s="30">
        <v>174</v>
      </c>
      <c r="E32" s="37"/>
    </row>
    <row r="33" spans="1:5" ht="15.75" customHeight="1" x14ac:dyDescent="0.25">
      <c r="A33" s="29" t="s">
        <v>26</v>
      </c>
      <c r="B33" s="30">
        <v>36</v>
      </c>
      <c r="C33" s="30">
        <v>24</v>
      </c>
      <c r="D33" s="30">
        <v>138</v>
      </c>
      <c r="E33" s="37"/>
    </row>
    <row r="34" spans="1:5" ht="15.75" customHeight="1" x14ac:dyDescent="0.25">
      <c r="A34" s="29" t="s">
        <v>27</v>
      </c>
      <c r="B34" s="30">
        <v>44</v>
      </c>
      <c r="C34" s="30">
        <v>29</v>
      </c>
      <c r="D34" s="30">
        <v>154</v>
      </c>
      <c r="E34" s="37"/>
    </row>
    <row r="35" spans="1:5" ht="15.75" customHeight="1" x14ac:dyDescent="0.25">
      <c r="A35" s="29" t="s">
        <v>214</v>
      </c>
      <c r="B35" s="30">
        <v>41</v>
      </c>
      <c r="C35" s="30">
        <v>28</v>
      </c>
      <c r="D35" s="30">
        <v>131</v>
      </c>
      <c r="E35" s="37"/>
    </row>
    <row r="36" spans="1:5" ht="15.75" customHeight="1" x14ac:dyDescent="0.25">
      <c r="A36" s="29" t="s">
        <v>213</v>
      </c>
      <c r="B36" s="45">
        <v>71</v>
      </c>
      <c r="C36" s="45">
        <v>48</v>
      </c>
      <c r="D36" s="45">
        <v>169</v>
      </c>
      <c r="E36" s="37"/>
    </row>
    <row r="37" spans="1:5" ht="15.75" customHeight="1" x14ac:dyDescent="0.25">
      <c r="A37" s="31" t="s">
        <v>232</v>
      </c>
      <c r="B37" s="30">
        <v>36</v>
      </c>
      <c r="C37" s="30">
        <v>24</v>
      </c>
      <c r="D37" s="30">
        <v>150</v>
      </c>
      <c r="E37" s="37"/>
    </row>
    <row r="38" spans="1:5" ht="15.75" customHeight="1" x14ac:dyDescent="0.25">
      <c r="A38" s="29" t="s">
        <v>212</v>
      </c>
      <c r="B38" s="30">
        <v>30</v>
      </c>
      <c r="C38" s="30">
        <v>20</v>
      </c>
      <c r="D38" s="30">
        <v>185</v>
      </c>
      <c r="E38" s="37"/>
    </row>
    <row r="39" spans="1:5" ht="15.75" customHeight="1" x14ac:dyDescent="0.25">
      <c r="A39" s="29" t="s">
        <v>211</v>
      </c>
      <c r="B39" s="30">
        <v>58</v>
      </c>
      <c r="C39" s="30">
        <v>39</v>
      </c>
      <c r="D39" s="30">
        <v>217</v>
      </c>
      <c r="E39" s="37"/>
    </row>
    <row r="40" spans="1:5" ht="15.75" customHeight="1" x14ac:dyDescent="0.25">
      <c r="A40" s="29" t="s">
        <v>215</v>
      </c>
      <c r="B40" s="30">
        <v>48</v>
      </c>
      <c r="C40" s="30">
        <v>32</v>
      </c>
      <c r="D40" s="30">
        <v>112</v>
      </c>
      <c r="E40" s="37"/>
    </row>
    <row r="41" spans="1:5" ht="15.75" customHeight="1" x14ac:dyDescent="0.25">
      <c r="A41" s="29" t="s">
        <v>28</v>
      </c>
      <c r="B41" s="30">
        <v>47</v>
      </c>
      <c r="C41" s="30">
        <v>32</v>
      </c>
      <c r="D41" s="30">
        <v>69</v>
      </c>
      <c r="E41" s="37"/>
    </row>
    <row r="42" spans="1:5" ht="15.75" customHeight="1" x14ac:dyDescent="0.25">
      <c r="A42" s="29" t="s">
        <v>210</v>
      </c>
      <c r="B42" s="30">
        <v>59</v>
      </c>
      <c r="C42" s="30">
        <v>40</v>
      </c>
      <c r="D42" s="30">
        <v>166</v>
      </c>
      <c r="E42" s="37"/>
    </row>
    <row r="43" spans="1:5" ht="15.75" customHeight="1" x14ac:dyDescent="0.25">
      <c r="A43" s="29" t="s">
        <v>152</v>
      </c>
      <c r="B43" s="4">
        <v>28</v>
      </c>
      <c r="C43" s="4">
        <v>14</v>
      </c>
      <c r="D43" s="4">
        <v>20</v>
      </c>
      <c r="E43" s="37"/>
    </row>
    <row r="44" spans="1:5" ht="15.75" customHeight="1" x14ac:dyDescent="0.25">
      <c r="A44" s="29" t="s">
        <v>30</v>
      </c>
      <c r="B44" s="30">
        <v>45</v>
      </c>
      <c r="C44" s="30">
        <v>30</v>
      </c>
      <c r="D44" s="30">
        <v>177</v>
      </c>
      <c r="E44" s="37"/>
    </row>
    <row r="45" spans="1:5" ht="15.75" customHeight="1" x14ac:dyDescent="0.25">
      <c r="A45" s="29" t="s">
        <v>31</v>
      </c>
      <c r="B45" s="45">
        <v>50</v>
      </c>
      <c r="C45" s="45">
        <v>33</v>
      </c>
      <c r="D45" s="45">
        <v>167</v>
      </c>
      <c r="E45" s="37"/>
    </row>
    <row r="46" spans="1:5" ht="15.75" customHeight="1" x14ac:dyDescent="0.25">
      <c r="A46" s="29" t="s">
        <v>32</v>
      </c>
      <c r="B46" s="45">
        <v>77</v>
      </c>
      <c r="C46" s="45">
        <v>52</v>
      </c>
      <c r="D46" s="45">
        <v>255</v>
      </c>
      <c r="E46" s="37"/>
    </row>
    <row r="47" spans="1:5" ht="15.75" customHeight="1" x14ac:dyDescent="0.25">
      <c r="A47" s="29" t="s">
        <v>29</v>
      </c>
      <c r="B47" s="30">
        <v>75</v>
      </c>
      <c r="C47" s="30">
        <v>50</v>
      </c>
      <c r="D47" s="30">
        <v>183</v>
      </c>
      <c r="E47" s="37"/>
    </row>
    <row r="48" spans="1:5" ht="15.75" customHeight="1" x14ac:dyDescent="0.25">
      <c r="A48" s="29" t="s">
        <v>33</v>
      </c>
      <c r="B48" s="30">
        <v>27</v>
      </c>
      <c r="C48" s="30">
        <v>18</v>
      </c>
      <c r="D48" s="30">
        <v>103</v>
      </c>
      <c r="E48" s="37"/>
    </row>
    <row r="49" spans="1:5" ht="15.75" customHeight="1" x14ac:dyDescent="0.25">
      <c r="A49" s="29" t="s">
        <v>34</v>
      </c>
      <c r="B49" s="30">
        <v>65</v>
      </c>
      <c r="C49" s="30">
        <v>44</v>
      </c>
      <c r="D49" s="30">
        <v>161</v>
      </c>
      <c r="E49" s="37"/>
    </row>
    <row r="50" spans="1:5" ht="15.75" customHeight="1" x14ac:dyDescent="0.25">
      <c r="A50" s="29" t="s">
        <v>35</v>
      </c>
      <c r="B50" s="30">
        <v>50</v>
      </c>
      <c r="C50" s="30">
        <v>33</v>
      </c>
      <c r="D50" s="30">
        <v>91</v>
      </c>
      <c r="E50" s="37"/>
    </row>
    <row r="51" spans="1:5" ht="15.75" customHeight="1" x14ac:dyDescent="0.25">
      <c r="A51" s="29" t="s">
        <v>36</v>
      </c>
      <c r="B51" s="30">
        <v>29</v>
      </c>
      <c r="C51" s="30">
        <v>20</v>
      </c>
      <c r="D51" s="30">
        <v>85</v>
      </c>
      <c r="E51" s="37"/>
    </row>
    <row r="52" spans="1:5" ht="15.75" customHeight="1" x14ac:dyDescent="0.25">
      <c r="A52" s="29" t="s">
        <v>37</v>
      </c>
      <c r="B52" s="45">
        <v>32</v>
      </c>
      <c r="C52" s="45">
        <v>21</v>
      </c>
      <c r="D52" s="45">
        <v>183</v>
      </c>
      <c r="E52" s="37"/>
    </row>
    <row r="53" spans="1:5" ht="15.75" customHeight="1" x14ac:dyDescent="0.25">
      <c r="A53" s="29" t="s">
        <v>38</v>
      </c>
      <c r="B53" s="45">
        <v>54</v>
      </c>
      <c r="C53" s="45">
        <v>36</v>
      </c>
      <c r="D53" s="45">
        <v>171</v>
      </c>
      <c r="E53" s="37"/>
    </row>
    <row r="54" spans="1:5" ht="30" x14ac:dyDescent="0.25">
      <c r="A54" s="46" t="s">
        <v>346</v>
      </c>
      <c r="B54" s="30">
        <v>58</v>
      </c>
      <c r="C54" s="30">
        <v>39</v>
      </c>
      <c r="D54" s="30">
        <v>159</v>
      </c>
      <c r="E54" s="37"/>
    </row>
    <row r="55" spans="1:5" ht="15.75" customHeight="1" x14ac:dyDescent="0.25">
      <c r="A55" s="29" t="s">
        <v>209</v>
      </c>
      <c r="B55" s="30">
        <v>53</v>
      </c>
      <c r="C55" s="30">
        <v>36</v>
      </c>
      <c r="D55" s="30">
        <v>105</v>
      </c>
      <c r="E55" s="37"/>
    </row>
    <row r="56" spans="1:5" ht="15.75" customHeight="1" x14ac:dyDescent="0.25">
      <c r="A56" s="29" t="s">
        <v>39</v>
      </c>
      <c r="B56" s="30">
        <v>52</v>
      </c>
      <c r="C56" s="30">
        <v>35</v>
      </c>
      <c r="D56" s="30">
        <v>183</v>
      </c>
      <c r="E56" s="37"/>
    </row>
    <row r="57" spans="1:5" ht="15.75" customHeight="1" x14ac:dyDescent="0.25">
      <c r="A57" s="29" t="s">
        <v>40</v>
      </c>
      <c r="B57" s="30">
        <v>40</v>
      </c>
      <c r="C57" s="30">
        <v>27</v>
      </c>
      <c r="D57" s="30">
        <v>161</v>
      </c>
      <c r="E57" s="37"/>
    </row>
    <row r="58" spans="1:5" ht="15.75" customHeight="1" x14ac:dyDescent="0.25">
      <c r="A58" s="29" t="s">
        <v>41</v>
      </c>
      <c r="B58" s="45">
        <v>45</v>
      </c>
      <c r="C58" s="45">
        <v>30</v>
      </c>
      <c r="D58" s="45">
        <v>87</v>
      </c>
      <c r="E58" s="37"/>
    </row>
    <row r="59" spans="1:5" ht="15.75" customHeight="1" x14ac:dyDescent="0.25">
      <c r="A59" s="29" t="s">
        <v>42</v>
      </c>
      <c r="B59" s="30">
        <v>46</v>
      </c>
      <c r="C59" s="30">
        <v>31</v>
      </c>
      <c r="D59" s="30">
        <v>148</v>
      </c>
      <c r="E59" s="37"/>
    </row>
    <row r="60" spans="1:5" ht="15.75" customHeight="1" x14ac:dyDescent="0.25">
      <c r="A60" s="29" t="s">
        <v>43</v>
      </c>
      <c r="B60" s="30">
        <v>45</v>
      </c>
      <c r="C60" s="30">
        <v>30</v>
      </c>
      <c r="D60" s="30">
        <v>177</v>
      </c>
      <c r="E60" s="37"/>
    </row>
    <row r="61" spans="1:5" ht="15.75" customHeight="1" x14ac:dyDescent="0.25">
      <c r="A61" s="29" t="s">
        <v>207</v>
      </c>
      <c r="B61" s="30">
        <v>40</v>
      </c>
      <c r="C61" s="30">
        <v>27</v>
      </c>
      <c r="D61" s="30">
        <v>139</v>
      </c>
      <c r="E61" s="37"/>
    </row>
    <row r="62" spans="1:5" ht="15.75" customHeight="1" x14ac:dyDescent="0.25">
      <c r="A62" s="29" t="s">
        <v>208</v>
      </c>
      <c r="B62" s="30">
        <v>36</v>
      </c>
      <c r="C62" s="30">
        <v>24</v>
      </c>
      <c r="D62" s="30">
        <v>150</v>
      </c>
      <c r="E62" s="37"/>
    </row>
    <row r="63" spans="1:5" ht="15.75" customHeight="1" x14ac:dyDescent="0.25">
      <c r="A63" s="29" t="s">
        <v>44</v>
      </c>
      <c r="B63" s="30">
        <v>34</v>
      </c>
      <c r="C63" s="30">
        <v>23</v>
      </c>
      <c r="D63" s="30">
        <v>90</v>
      </c>
      <c r="E63" s="37"/>
    </row>
    <row r="64" spans="1:5" ht="15.75" customHeight="1" x14ac:dyDescent="0.25">
      <c r="A64" s="29" t="s">
        <v>45</v>
      </c>
      <c r="B64" s="45">
        <v>59</v>
      </c>
      <c r="C64" s="45">
        <v>40</v>
      </c>
      <c r="D64" s="45">
        <v>140</v>
      </c>
      <c r="E64" s="37"/>
    </row>
    <row r="65" spans="1:5" ht="15.75" customHeight="1" x14ac:dyDescent="0.25">
      <c r="A65" s="29" t="s">
        <v>46</v>
      </c>
      <c r="B65" s="30">
        <v>32</v>
      </c>
      <c r="C65" s="30">
        <v>21</v>
      </c>
      <c r="D65" s="30">
        <v>113</v>
      </c>
      <c r="E65" s="37"/>
    </row>
    <row r="66" spans="1:5" ht="15.75" customHeight="1" x14ac:dyDescent="0.25">
      <c r="A66" s="29" t="s">
        <v>47</v>
      </c>
      <c r="B66" s="30">
        <v>45</v>
      </c>
      <c r="C66" s="30">
        <v>30</v>
      </c>
      <c r="D66" s="30">
        <v>177</v>
      </c>
      <c r="E66" s="37"/>
    </row>
    <row r="67" spans="1:5" ht="15.75" customHeight="1" x14ac:dyDescent="0.25">
      <c r="A67" s="29" t="s">
        <v>48</v>
      </c>
      <c r="B67" s="30">
        <v>58</v>
      </c>
      <c r="C67" s="30">
        <v>39</v>
      </c>
      <c r="D67" s="30">
        <v>130</v>
      </c>
      <c r="E67" s="37"/>
    </row>
    <row r="68" spans="1:5" ht="15.75" customHeight="1" x14ac:dyDescent="0.25">
      <c r="A68" s="29" t="s">
        <v>49</v>
      </c>
      <c r="B68" s="30">
        <v>57</v>
      </c>
      <c r="C68" s="30">
        <v>38</v>
      </c>
      <c r="D68" s="30">
        <v>198</v>
      </c>
      <c r="E68" s="37"/>
    </row>
    <row r="69" spans="1:5" ht="15.75" customHeight="1" x14ac:dyDescent="0.25">
      <c r="A69" s="29" t="s">
        <v>227</v>
      </c>
      <c r="B69" s="30">
        <v>42</v>
      </c>
      <c r="C69" s="30">
        <v>28</v>
      </c>
      <c r="D69" s="30">
        <v>155</v>
      </c>
      <c r="E69" s="37"/>
    </row>
    <row r="70" spans="1:5" ht="15.75" customHeight="1" x14ac:dyDescent="0.25">
      <c r="A70" s="46" t="s">
        <v>347</v>
      </c>
      <c r="B70" s="30">
        <v>32</v>
      </c>
      <c r="C70" s="30">
        <v>21</v>
      </c>
      <c r="D70" s="30">
        <v>85</v>
      </c>
      <c r="E70" s="37"/>
    </row>
    <row r="71" spans="1:5" ht="15.75" customHeight="1" x14ac:dyDescent="0.25">
      <c r="A71" s="46" t="s">
        <v>348</v>
      </c>
      <c r="B71" s="30">
        <v>35</v>
      </c>
      <c r="C71" s="30">
        <v>24</v>
      </c>
      <c r="D71" s="30">
        <v>145</v>
      </c>
      <c r="E71" s="37"/>
    </row>
    <row r="72" spans="1:5" ht="15.75" customHeight="1" x14ac:dyDescent="0.25">
      <c r="A72" s="46" t="s">
        <v>349</v>
      </c>
      <c r="B72" s="30">
        <v>50</v>
      </c>
      <c r="C72" s="30">
        <v>33</v>
      </c>
      <c r="D72" s="30">
        <v>146</v>
      </c>
      <c r="E72" s="37"/>
    </row>
    <row r="73" spans="1:5" ht="15.75" customHeight="1" x14ac:dyDescent="0.25">
      <c r="A73" s="29" t="s">
        <v>205</v>
      </c>
      <c r="B73" s="30">
        <v>38</v>
      </c>
      <c r="C73" s="30">
        <v>25</v>
      </c>
      <c r="D73" s="30">
        <v>185</v>
      </c>
      <c r="E73" s="37"/>
    </row>
    <row r="74" spans="1:5" ht="15.75" customHeight="1" x14ac:dyDescent="0.25">
      <c r="A74" s="29" t="s">
        <v>206</v>
      </c>
      <c r="B74" s="30">
        <v>32</v>
      </c>
      <c r="C74" s="30">
        <v>21</v>
      </c>
      <c r="D74" s="30">
        <v>85</v>
      </c>
      <c r="E74" s="37"/>
    </row>
    <row r="75" spans="1:5" ht="15.75" customHeight="1" x14ac:dyDescent="0.25">
      <c r="A75" s="29" t="s">
        <v>50</v>
      </c>
      <c r="B75" s="30">
        <v>36</v>
      </c>
      <c r="C75" s="30">
        <v>24</v>
      </c>
      <c r="D75" s="30">
        <v>134</v>
      </c>
      <c r="E75" s="37"/>
    </row>
    <row r="76" spans="1:5" ht="15.75" customHeight="1" x14ac:dyDescent="0.25">
      <c r="A76" s="29" t="s">
        <v>51</v>
      </c>
      <c r="B76" s="30">
        <v>33</v>
      </c>
      <c r="C76" s="30">
        <v>22</v>
      </c>
      <c r="D76" s="30">
        <v>196</v>
      </c>
      <c r="E76" s="37"/>
    </row>
    <row r="77" spans="1:5" ht="15.75" customHeight="1" x14ac:dyDescent="0.25">
      <c r="A77" s="29" t="s">
        <v>52</v>
      </c>
      <c r="B77" s="30">
        <v>58</v>
      </c>
      <c r="C77" s="30">
        <v>39</v>
      </c>
      <c r="D77" s="30">
        <v>129</v>
      </c>
      <c r="E77" s="37"/>
    </row>
    <row r="78" spans="1:5" ht="15.75" customHeight="1" x14ac:dyDescent="0.25">
      <c r="A78" s="29" t="s">
        <v>53</v>
      </c>
      <c r="B78" s="30">
        <v>62</v>
      </c>
      <c r="C78" s="30">
        <v>41</v>
      </c>
      <c r="D78" s="30">
        <v>187</v>
      </c>
      <c r="E78" s="37"/>
    </row>
    <row r="79" spans="1:5" ht="15.75" customHeight="1" x14ac:dyDescent="0.25">
      <c r="A79" s="29" t="s">
        <v>54</v>
      </c>
      <c r="B79" s="30">
        <v>66</v>
      </c>
      <c r="C79" s="30">
        <v>44</v>
      </c>
      <c r="D79" s="30">
        <v>190</v>
      </c>
      <c r="E79" s="37"/>
    </row>
    <row r="80" spans="1:5" ht="15.75" customHeight="1" x14ac:dyDescent="0.25">
      <c r="A80" s="29" t="s">
        <v>203</v>
      </c>
      <c r="B80" s="45">
        <v>42</v>
      </c>
      <c r="C80" s="45">
        <v>28</v>
      </c>
      <c r="D80" s="45">
        <v>191</v>
      </c>
      <c r="E80" s="37"/>
    </row>
    <row r="81" spans="1:5" ht="15.75" customHeight="1" x14ac:dyDescent="0.25">
      <c r="A81" s="29" t="s">
        <v>202</v>
      </c>
      <c r="B81" s="45">
        <v>48</v>
      </c>
      <c r="C81" s="45">
        <v>32</v>
      </c>
      <c r="D81" s="45">
        <v>150</v>
      </c>
      <c r="E81" s="37"/>
    </row>
    <row r="82" spans="1:5" ht="15.75" customHeight="1" x14ac:dyDescent="0.25">
      <c r="A82" s="29" t="s">
        <v>204</v>
      </c>
      <c r="B82" s="45">
        <v>42</v>
      </c>
      <c r="C82" s="45">
        <v>28</v>
      </c>
      <c r="D82" s="45">
        <v>150</v>
      </c>
      <c r="E82" s="37"/>
    </row>
    <row r="83" spans="1:5" ht="15.75" customHeight="1" x14ac:dyDescent="0.25">
      <c r="A83" s="29" t="s">
        <v>55</v>
      </c>
      <c r="B83" s="45">
        <v>39</v>
      </c>
      <c r="C83" s="45">
        <v>26</v>
      </c>
      <c r="D83" s="45">
        <v>171</v>
      </c>
      <c r="E83" s="37"/>
    </row>
    <row r="84" spans="1:5" ht="15.75" customHeight="1" x14ac:dyDescent="0.25">
      <c r="A84" s="29" t="s">
        <v>200</v>
      </c>
      <c r="B84" s="45">
        <v>50</v>
      </c>
      <c r="C84" s="45">
        <v>33</v>
      </c>
      <c r="D84" s="45">
        <v>285</v>
      </c>
      <c r="E84" s="37"/>
    </row>
    <row r="85" spans="1:5" ht="15.75" customHeight="1" x14ac:dyDescent="0.25">
      <c r="A85" s="29" t="s">
        <v>201</v>
      </c>
      <c r="B85" s="30">
        <v>52</v>
      </c>
      <c r="C85" s="30">
        <v>35</v>
      </c>
      <c r="D85" s="30">
        <v>190</v>
      </c>
      <c r="E85" s="37"/>
    </row>
    <row r="86" spans="1:5" ht="15.75" customHeight="1" x14ac:dyDescent="0.25">
      <c r="A86" s="29" t="s">
        <v>56</v>
      </c>
      <c r="B86" s="30">
        <v>24</v>
      </c>
      <c r="C86" s="30">
        <v>16</v>
      </c>
      <c r="D86" s="30">
        <v>95</v>
      </c>
      <c r="E86" s="37"/>
    </row>
    <row r="87" spans="1:5" ht="15.75" customHeight="1" x14ac:dyDescent="0.25">
      <c r="A87" s="29" t="s">
        <v>57</v>
      </c>
      <c r="B87" s="30">
        <v>57</v>
      </c>
      <c r="C87" s="30">
        <v>38</v>
      </c>
      <c r="D87" s="30">
        <v>134</v>
      </c>
      <c r="E87" s="37"/>
    </row>
    <row r="88" spans="1:5" ht="15.75" customHeight="1" x14ac:dyDescent="0.25">
      <c r="A88" s="29" t="s">
        <v>58</v>
      </c>
      <c r="B88" s="30">
        <v>38</v>
      </c>
      <c r="C88" s="30">
        <v>25</v>
      </c>
      <c r="D88" s="30">
        <v>94</v>
      </c>
      <c r="E88" s="37"/>
    </row>
    <row r="89" spans="1:5" ht="15.75" customHeight="1" x14ac:dyDescent="0.25">
      <c r="A89" s="29" t="s">
        <v>59</v>
      </c>
      <c r="B89" s="45">
        <v>56</v>
      </c>
      <c r="C89" s="45">
        <v>37</v>
      </c>
      <c r="D89" s="45">
        <v>275</v>
      </c>
      <c r="E89" s="37"/>
    </row>
    <row r="90" spans="1:5" ht="15.75" customHeight="1" x14ac:dyDescent="0.25">
      <c r="A90" s="29" t="s">
        <v>198</v>
      </c>
      <c r="B90" s="45">
        <v>62</v>
      </c>
      <c r="C90" s="45">
        <v>41</v>
      </c>
      <c r="D90" s="45">
        <v>214</v>
      </c>
      <c r="E90" s="37"/>
    </row>
    <row r="91" spans="1:5" ht="15.75" customHeight="1" x14ac:dyDescent="0.25">
      <c r="A91" s="29" t="s">
        <v>197</v>
      </c>
      <c r="B91" s="45">
        <v>54</v>
      </c>
      <c r="C91" s="45">
        <v>36</v>
      </c>
      <c r="D91" s="45">
        <v>392</v>
      </c>
      <c r="E91" s="37"/>
    </row>
    <row r="92" spans="1:5" ht="15.75" customHeight="1" x14ac:dyDescent="0.25">
      <c r="A92" s="29" t="s">
        <v>196</v>
      </c>
      <c r="B92" s="45">
        <v>63</v>
      </c>
      <c r="C92" s="45">
        <v>42</v>
      </c>
      <c r="D92" s="45">
        <v>304</v>
      </c>
      <c r="E92" s="37"/>
    </row>
    <row r="93" spans="1:5" ht="15.75" customHeight="1" x14ac:dyDescent="0.25">
      <c r="A93" s="29" t="s">
        <v>199</v>
      </c>
      <c r="B93" s="45">
        <v>54</v>
      </c>
      <c r="C93" s="45">
        <v>36</v>
      </c>
      <c r="D93" s="45">
        <v>214</v>
      </c>
      <c r="E93" s="37"/>
    </row>
    <row r="94" spans="1:5" ht="15.75" customHeight="1" x14ac:dyDescent="0.25">
      <c r="A94" s="29" t="s">
        <v>60</v>
      </c>
      <c r="B94" s="45">
        <v>38</v>
      </c>
      <c r="C94" s="45">
        <v>25</v>
      </c>
      <c r="D94" s="45">
        <v>90</v>
      </c>
      <c r="E94" s="37"/>
    </row>
    <row r="95" spans="1:5" ht="15.75" customHeight="1" x14ac:dyDescent="0.25">
      <c r="A95" s="29" t="s">
        <v>61</v>
      </c>
      <c r="B95" s="30">
        <v>45</v>
      </c>
      <c r="C95" s="30">
        <v>30</v>
      </c>
      <c r="D95" s="30">
        <v>111</v>
      </c>
      <c r="E95" s="37"/>
    </row>
    <row r="96" spans="1:5" ht="15.75" customHeight="1" x14ac:dyDescent="0.25">
      <c r="A96" s="29" t="s">
        <v>62</v>
      </c>
      <c r="B96" s="30">
        <v>56</v>
      </c>
      <c r="C96" s="30">
        <v>37</v>
      </c>
      <c r="D96" s="30">
        <v>149</v>
      </c>
      <c r="E96" s="37"/>
    </row>
    <row r="97" spans="1:5" ht="15.75" customHeight="1" x14ac:dyDescent="0.25">
      <c r="A97" s="29" t="s">
        <v>63</v>
      </c>
      <c r="B97" s="30">
        <v>51</v>
      </c>
      <c r="C97" s="30">
        <v>34</v>
      </c>
      <c r="D97" s="30">
        <v>219</v>
      </c>
      <c r="E97" s="37"/>
    </row>
    <row r="98" spans="1:5" ht="15.75" customHeight="1" x14ac:dyDescent="0.25">
      <c r="A98" s="29" t="s">
        <v>64</v>
      </c>
      <c r="B98" s="30">
        <v>27</v>
      </c>
      <c r="C98" s="30">
        <v>18</v>
      </c>
      <c r="D98" s="30">
        <v>74</v>
      </c>
      <c r="E98" s="37"/>
    </row>
    <row r="99" spans="1:5" ht="15.75" customHeight="1" x14ac:dyDescent="0.25">
      <c r="A99" s="29" t="s">
        <v>65</v>
      </c>
      <c r="B99" s="30">
        <v>46</v>
      </c>
      <c r="C99" s="30">
        <v>31</v>
      </c>
      <c r="D99" s="30">
        <v>115</v>
      </c>
      <c r="E99" s="37"/>
    </row>
    <row r="100" spans="1:5" ht="31.5" customHeight="1" x14ac:dyDescent="0.25">
      <c r="A100" s="32" t="s">
        <v>195</v>
      </c>
      <c r="B100" s="30">
        <v>70</v>
      </c>
      <c r="C100" s="30">
        <v>47</v>
      </c>
      <c r="D100" s="30">
        <v>190</v>
      </c>
      <c r="E100" s="37"/>
    </row>
    <row r="101" spans="1:5" x14ac:dyDescent="0.25">
      <c r="A101" s="29" t="s">
        <v>155</v>
      </c>
      <c r="B101" s="30">
        <v>62</v>
      </c>
      <c r="C101" s="30">
        <v>41</v>
      </c>
      <c r="D101" s="30">
        <v>215</v>
      </c>
      <c r="E101" s="37"/>
    </row>
    <row r="102" spans="1:5" ht="32.25" customHeight="1" x14ac:dyDescent="0.25">
      <c r="A102" s="29" t="s">
        <v>194</v>
      </c>
      <c r="B102" s="30">
        <v>28</v>
      </c>
      <c r="C102" s="30">
        <v>19</v>
      </c>
      <c r="D102" s="30">
        <v>92</v>
      </c>
      <c r="E102" s="37"/>
    </row>
    <row r="103" spans="1:5" ht="15" customHeight="1" x14ac:dyDescent="0.25">
      <c r="A103" s="29" t="s">
        <v>156</v>
      </c>
      <c r="B103" s="30">
        <v>48</v>
      </c>
      <c r="C103" s="30">
        <v>32</v>
      </c>
      <c r="D103" s="30">
        <v>108</v>
      </c>
      <c r="E103" s="37"/>
    </row>
    <row r="104" spans="1:5" ht="15.75" customHeight="1" x14ac:dyDescent="0.25">
      <c r="A104" s="29" t="s">
        <v>66</v>
      </c>
      <c r="B104" s="30">
        <v>24</v>
      </c>
      <c r="C104" s="30">
        <v>16</v>
      </c>
      <c r="D104" s="30">
        <v>57</v>
      </c>
      <c r="E104" s="37"/>
    </row>
    <row r="105" spans="1:5" ht="15.75" customHeight="1" x14ac:dyDescent="0.25">
      <c r="A105" s="29" t="s">
        <v>67</v>
      </c>
      <c r="B105" s="30">
        <v>35</v>
      </c>
      <c r="C105" s="30">
        <v>24</v>
      </c>
      <c r="D105" s="30">
        <v>107</v>
      </c>
      <c r="E105" s="37"/>
    </row>
    <row r="106" spans="1:5" ht="15.75" customHeight="1" x14ac:dyDescent="0.25">
      <c r="A106" s="29" t="s">
        <v>68</v>
      </c>
      <c r="B106" s="45">
        <v>51</v>
      </c>
      <c r="C106" s="45">
        <v>34</v>
      </c>
      <c r="D106" s="45">
        <v>170</v>
      </c>
      <c r="E106" s="37"/>
    </row>
    <row r="107" spans="1:5" ht="15.75" customHeight="1" x14ac:dyDescent="0.25">
      <c r="A107" s="29" t="s">
        <v>69</v>
      </c>
      <c r="B107" s="30">
        <v>56</v>
      </c>
      <c r="C107" s="30">
        <v>37</v>
      </c>
      <c r="D107" s="30">
        <v>241</v>
      </c>
      <c r="E107" s="37"/>
    </row>
    <row r="108" spans="1:5" ht="15.75" customHeight="1" x14ac:dyDescent="0.25">
      <c r="A108" s="29" t="s">
        <v>70</v>
      </c>
      <c r="B108" s="45">
        <v>35</v>
      </c>
      <c r="C108" s="45">
        <v>24</v>
      </c>
      <c r="D108" s="45">
        <v>71</v>
      </c>
      <c r="E108" s="37"/>
    </row>
    <row r="109" spans="1:5" ht="15.75" customHeight="1" x14ac:dyDescent="0.25">
      <c r="A109" s="29" t="s">
        <v>71</v>
      </c>
      <c r="B109" s="30">
        <v>28</v>
      </c>
      <c r="C109" s="30">
        <v>19</v>
      </c>
      <c r="D109" s="30">
        <v>104</v>
      </c>
      <c r="E109" s="37"/>
    </row>
    <row r="110" spans="1:5" ht="15.75" customHeight="1" x14ac:dyDescent="0.25">
      <c r="A110" s="29" t="s">
        <v>72</v>
      </c>
      <c r="B110" s="30">
        <v>35</v>
      </c>
      <c r="C110" s="30">
        <v>24</v>
      </c>
      <c r="D110" s="30">
        <v>76</v>
      </c>
      <c r="E110" s="37"/>
    </row>
    <row r="111" spans="1:5" ht="15.75" customHeight="1" x14ac:dyDescent="0.25">
      <c r="A111" s="29" t="s">
        <v>73</v>
      </c>
      <c r="B111" s="45">
        <v>69</v>
      </c>
      <c r="C111" s="45">
        <v>46</v>
      </c>
      <c r="D111" s="45">
        <v>146</v>
      </c>
      <c r="E111" s="37"/>
    </row>
    <row r="112" spans="1:5" ht="15.75" customHeight="1" x14ac:dyDescent="0.25">
      <c r="A112" s="29" t="s">
        <v>74</v>
      </c>
      <c r="B112" s="30">
        <v>63</v>
      </c>
      <c r="C112" s="30">
        <v>42</v>
      </c>
      <c r="D112" s="30">
        <v>135</v>
      </c>
      <c r="E112" s="37"/>
    </row>
    <row r="113" spans="1:5" ht="15.75" customHeight="1" x14ac:dyDescent="0.25">
      <c r="A113" s="29" t="s">
        <v>75</v>
      </c>
      <c r="B113" s="30">
        <v>56</v>
      </c>
      <c r="C113" s="30">
        <v>37</v>
      </c>
      <c r="D113" s="30">
        <v>190</v>
      </c>
      <c r="E113" s="37"/>
    </row>
    <row r="114" spans="1:5" ht="15.75" customHeight="1" x14ac:dyDescent="0.25">
      <c r="A114" s="29" t="s">
        <v>76</v>
      </c>
      <c r="B114" s="30">
        <v>26</v>
      </c>
      <c r="C114" s="30">
        <v>17</v>
      </c>
      <c r="D114" s="30">
        <v>109</v>
      </c>
      <c r="E114" s="37"/>
    </row>
    <row r="115" spans="1:5" ht="15.75" customHeight="1" x14ac:dyDescent="0.25">
      <c r="A115" s="29" t="s">
        <v>77</v>
      </c>
      <c r="B115" s="30">
        <v>63</v>
      </c>
      <c r="C115" s="30">
        <v>42</v>
      </c>
      <c r="D115" s="30">
        <v>139</v>
      </c>
      <c r="E115" s="37"/>
    </row>
    <row r="116" spans="1:5" ht="15.75" customHeight="1" x14ac:dyDescent="0.25">
      <c r="A116" s="29" t="s">
        <v>78</v>
      </c>
      <c r="B116" s="45">
        <v>33</v>
      </c>
      <c r="C116" s="45">
        <v>22</v>
      </c>
      <c r="D116" s="45">
        <v>116</v>
      </c>
      <c r="E116" s="37"/>
    </row>
    <row r="117" spans="1:5" ht="15.75" customHeight="1" x14ac:dyDescent="0.25">
      <c r="A117" s="29" t="s">
        <v>79</v>
      </c>
      <c r="B117" s="30">
        <v>41</v>
      </c>
      <c r="C117" s="30">
        <v>28</v>
      </c>
      <c r="D117" s="30">
        <v>109</v>
      </c>
      <c r="E117" s="37"/>
    </row>
    <row r="118" spans="1:5" ht="15.75" customHeight="1" x14ac:dyDescent="0.25">
      <c r="A118" s="29" t="s">
        <v>80</v>
      </c>
      <c r="B118" s="30">
        <v>36</v>
      </c>
      <c r="C118" s="30">
        <v>24</v>
      </c>
      <c r="D118" s="30">
        <v>86</v>
      </c>
      <c r="E118" s="37"/>
    </row>
    <row r="119" spans="1:5" ht="15.75" customHeight="1" x14ac:dyDescent="0.25">
      <c r="A119" s="29" t="s">
        <v>81</v>
      </c>
      <c r="B119" s="30">
        <v>52</v>
      </c>
      <c r="C119" s="30">
        <v>35</v>
      </c>
      <c r="D119" s="30">
        <v>170</v>
      </c>
      <c r="E119" s="37"/>
    </row>
    <row r="120" spans="1:5" ht="15.75" customHeight="1" x14ac:dyDescent="0.25">
      <c r="A120" s="29" t="s">
        <v>82</v>
      </c>
      <c r="B120" s="30">
        <v>38</v>
      </c>
      <c r="C120" s="30">
        <v>25</v>
      </c>
      <c r="D120" s="30">
        <v>120</v>
      </c>
      <c r="E120" s="37"/>
    </row>
    <row r="121" spans="1:5" ht="15.75" customHeight="1" x14ac:dyDescent="0.25">
      <c r="A121" s="29" t="s">
        <v>83</v>
      </c>
      <c r="B121" s="30">
        <v>46</v>
      </c>
      <c r="C121" s="30">
        <v>31</v>
      </c>
      <c r="D121" s="30">
        <v>114</v>
      </c>
      <c r="E121" s="37"/>
    </row>
    <row r="122" spans="1:5" ht="15.75" customHeight="1" x14ac:dyDescent="0.25">
      <c r="A122" s="29" t="s">
        <v>84</v>
      </c>
      <c r="B122" s="45">
        <v>41</v>
      </c>
      <c r="C122" s="30">
        <v>28</v>
      </c>
      <c r="D122" s="45">
        <v>87</v>
      </c>
      <c r="E122" s="37"/>
    </row>
    <row r="123" spans="1:5" ht="15.75" customHeight="1" x14ac:dyDescent="0.25">
      <c r="A123" s="29" t="s">
        <v>85</v>
      </c>
      <c r="B123" s="30">
        <v>63</v>
      </c>
      <c r="C123" s="30">
        <v>42</v>
      </c>
      <c r="D123" s="30">
        <v>116</v>
      </c>
      <c r="E123" s="37"/>
    </row>
    <row r="124" spans="1:5" ht="15.75" customHeight="1" x14ac:dyDescent="0.25">
      <c r="A124" s="29" t="s">
        <v>86</v>
      </c>
      <c r="B124" s="30">
        <v>35</v>
      </c>
      <c r="C124" s="30">
        <v>24</v>
      </c>
      <c r="D124" s="30">
        <v>86</v>
      </c>
      <c r="E124" s="37"/>
    </row>
    <row r="125" spans="1:5" ht="15.75" customHeight="1" x14ac:dyDescent="0.25">
      <c r="A125" s="29" t="s">
        <v>87</v>
      </c>
      <c r="B125" s="45">
        <v>44</v>
      </c>
      <c r="C125" s="45">
        <v>29</v>
      </c>
      <c r="D125" s="45">
        <v>172</v>
      </c>
      <c r="E125" s="37"/>
    </row>
    <row r="126" spans="1:5" ht="15.75" customHeight="1" x14ac:dyDescent="0.25">
      <c r="A126" s="29" t="s">
        <v>88</v>
      </c>
      <c r="B126" s="30">
        <v>29</v>
      </c>
      <c r="C126" s="30">
        <v>20</v>
      </c>
      <c r="D126" s="30">
        <v>95</v>
      </c>
      <c r="E126" s="37"/>
    </row>
    <row r="127" spans="1:5" ht="15.75" customHeight="1" x14ac:dyDescent="0.25">
      <c r="A127" s="29" t="s">
        <v>89</v>
      </c>
      <c r="B127" s="30">
        <v>48</v>
      </c>
      <c r="C127" s="30">
        <v>32</v>
      </c>
      <c r="D127" s="30">
        <v>177</v>
      </c>
      <c r="E127" s="37"/>
    </row>
    <row r="128" spans="1:5" ht="15.75" customHeight="1" x14ac:dyDescent="0.25">
      <c r="A128" s="29" t="s">
        <v>90</v>
      </c>
      <c r="B128" s="30">
        <v>33</v>
      </c>
      <c r="C128" s="30">
        <v>22</v>
      </c>
      <c r="D128" s="30">
        <v>116</v>
      </c>
      <c r="E128" s="37"/>
    </row>
    <row r="129" spans="1:5" ht="15.75" customHeight="1" x14ac:dyDescent="0.25">
      <c r="A129" s="29" t="s">
        <v>91</v>
      </c>
      <c r="B129" s="30">
        <v>26</v>
      </c>
      <c r="C129" s="30">
        <v>17</v>
      </c>
      <c r="D129" s="30">
        <v>73</v>
      </c>
      <c r="E129" s="37"/>
    </row>
    <row r="130" spans="1:5" ht="15.75" customHeight="1" x14ac:dyDescent="0.25">
      <c r="A130" s="29" t="s">
        <v>92</v>
      </c>
      <c r="B130" s="30">
        <v>52</v>
      </c>
      <c r="C130" s="30">
        <v>35</v>
      </c>
      <c r="D130" s="30">
        <v>187</v>
      </c>
      <c r="E130" s="37"/>
    </row>
    <row r="131" spans="1:5" ht="15.75" customHeight="1" x14ac:dyDescent="0.25">
      <c r="A131" s="29" t="s">
        <v>93</v>
      </c>
      <c r="B131" s="45">
        <v>23</v>
      </c>
      <c r="C131" s="45">
        <v>16</v>
      </c>
      <c r="D131" s="30">
        <v>92</v>
      </c>
      <c r="E131" s="37"/>
    </row>
    <row r="132" spans="1:5" ht="15.75" customHeight="1" x14ac:dyDescent="0.25">
      <c r="A132" s="29" t="s">
        <v>94</v>
      </c>
      <c r="B132" s="30">
        <v>32</v>
      </c>
      <c r="C132" s="30">
        <v>21</v>
      </c>
      <c r="D132" s="30">
        <v>85</v>
      </c>
      <c r="E132" s="37"/>
    </row>
    <row r="133" spans="1:5" ht="15.75" customHeight="1" x14ac:dyDescent="0.25">
      <c r="A133" s="29" t="s">
        <v>95</v>
      </c>
      <c r="B133" s="45">
        <v>51</v>
      </c>
      <c r="C133" s="45">
        <v>34</v>
      </c>
      <c r="D133" s="45">
        <v>208</v>
      </c>
      <c r="E133" s="37"/>
    </row>
    <row r="134" spans="1:5" ht="15.75" customHeight="1" x14ac:dyDescent="0.25">
      <c r="A134" s="29" t="s">
        <v>193</v>
      </c>
      <c r="B134" s="30">
        <v>35</v>
      </c>
      <c r="C134" s="30">
        <v>24</v>
      </c>
      <c r="D134" s="30">
        <v>155</v>
      </c>
      <c r="E134" s="37"/>
    </row>
    <row r="135" spans="1:5" ht="15.75" customHeight="1" x14ac:dyDescent="0.25">
      <c r="A135" s="29" t="s">
        <v>96</v>
      </c>
      <c r="B135" s="30">
        <v>30</v>
      </c>
      <c r="C135" s="30">
        <v>20</v>
      </c>
      <c r="D135" s="30">
        <v>112</v>
      </c>
      <c r="E135" s="37"/>
    </row>
    <row r="136" spans="1:5" ht="15.75" customHeight="1" x14ac:dyDescent="0.25">
      <c r="A136" s="29" t="s">
        <v>97</v>
      </c>
      <c r="B136" s="30">
        <v>36</v>
      </c>
      <c r="C136" s="30">
        <v>24</v>
      </c>
      <c r="D136" s="30">
        <v>126</v>
      </c>
      <c r="E136" s="37"/>
    </row>
    <row r="137" spans="1:5" ht="15.75" customHeight="1" x14ac:dyDescent="0.25">
      <c r="A137" s="29" t="s">
        <v>98</v>
      </c>
      <c r="B137" s="45">
        <v>58</v>
      </c>
      <c r="C137" s="45">
        <v>39</v>
      </c>
      <c r="D137" s="45">
        <v>148</v>
      </c>
      <c r="E137" s="37"/>
    </row>
    <row r="138" spans="1:5" ht="15.75" customHeight="1" x14ac:dyDescent="0.25">
      <c r="A138" s="29" t="s">
        <v>99</v>
      </c>
      <c r="B138" s="30">
        <v>46</v>
      </c>
      <c r="C138" s="30">
        <v>31</v>
      </c>
      <c r="D138" s="30">
        <v>105</v>
      </c>
      <c r="E138" s="37"/>
    </row>
    <row r="139" spans="1:5" ht="15.75" customHeight="1" x14ac:dyDescent="0.25">
      <c r="A139" s="29" t="s">
        <v>100</v>
      </c>
      <c r="B139" s="30">
        <v>47</v>
      </c>
      <c r="C139" s="30">
        <v>32</v>
      </c>
      <c r="D139" s="30">
        <v>122</v>
      </c>
      <c r="E139" s="37"/>
    </row>
    <row r="140" spans="1:5" ht="15.75" customHeight="1" x14ac:dyDescent="0.25">
      <c r="A140" s="29" t="s">
        <v>101</v>
      </c>
      <c r="B140" s="30">
        <v>42</v>
      </c>
      <c r="C140" s="30">
        <v>28</v>
      </c>
      <c r="D140" s="30">
        <v>131</v>
      </c>
      <c r="E140" s="37"/>
    </row>
    <row r="141" spans="1:5" ht="15.75" customHeight="1" x14ac:dyDescent="0.25">
      <c r="A141" s="29" t="s">
        <v>102</v>
      </c>
      <c r="B141" s="30">
        <v>46</v>
      </c>
      <c r="C141" s="30">
        <v>31</v>
      </c>
      <c r="D141" s="30">
        <v>182</v>
      </c>
      <c r="E141" s="37"/>
    </row>
    <row r="142" spans="1:5" ht="15.75" customHeight="1" x14ac:dyDescent="0.25">
      <c r="A142" s="33" t="s">
        <v>236</v>
      </c>
      <c r="B142" s="30">
        <v>27</v>
      </c>
      <c r="C142" s="30">
        <v>18</v>
      </c>
      <c r="D142" s="30">
        <v>89</v>
      </c>
      <c r="E142" s="37"/>
    </row>
    <row r="143" spans="1:5" ht="15.75" customHeight="1" x14ac:dyDescent="0.25">
      <c r="A143" s="29" t="s">
        <v>103</v>
      </c>
      <c r="B143" s="45">
        <v>75</v>
      </c>
      <c r="C143" s="45">
        <v>50</v>
      </c>
      <c r="D143" s="45">
        <v>139</v>
      </c>
      <c r="E143" s="37"/>
    </row>
    <row r="144" spans="1:5" ht="15.75" customHeight="1" x14ac:dyDescent="0.25">
      <c r="A144" s="29" t="s">
        <v>104</v>
      </c>
      <c r="B144" s="45">
        <v>50</v>
      </c>
      <c r="C144" s="45">
        <v>33</v>
      </c>
      <c r="D144" s="45">
        <v>117</v>
      </c>
      <c r="E144" s="37"/>
    </row>
    <row r="145" spans="1:5" ht="15.75" customHeight="1" x14ac:dyDescent="0.25">
      <c r="A145" s="29" t="s">
        <v>105</v>
      </c>
      <c r="B145" s="30">
        <v>64</v>
      </c>
      <c r="C145" s="30">
        <v>43</v>
      </c>
      <c r="D145" s="30">
        <v>141</v>
      </c>
      <c r="E145" s="37"/>
    </row>
    <row r="146" spans="1:5" ht="15.75" customHeight="1" x14ac:dyDescent="0.25">
      <c r="A146" s="29" t="s">
        <v>191</v>
      </c>
      <c r="B146" s="30">
        <v>23</v>
      </c>
      <c r="C146" s="30">
        <v>16</v>
      </c>
      <c r="D146" s="30">
        <v>238</v>
      </c>
      <c r="E146" s="37"/>
    </row>
    <row r="147" spans="1:5" ht="15.75" customHeight="1" x14ac:dyDescent="0.25">
      <c r="A147" s="29" t="s">
        <v>192</v>
      </c>
      <c r="B147" s="30">
        <v>34</v>
      </c>
      <c r="C147" s="30">
        <v>23</v>
      </c>
      <c r="D147" s="30">
        <v>122</v>
      </c>
      <c r="E147" s="37"/>
    </row>
    <row r="148" spans="1:5" ht="15.75" customHeight="1" x14ac:dyDescent="0.25">
      <c r="A148" s="29" t="s">
        <v>106</v>
      </c>
      <c r="B148" s="30">
        <v>51</v>
      </c>
      <c r="C148" s="30">
        <v>34</v>
      </c>
      <c r="D148" s="30">
        <v>179</v>
      </c>
      <c r="E148" s="37"/>
    </row>
    <row r="149" spans="1:5" ht="15.75" customHeight="1" x14ac:dyDescent="0.25">
      <c r="A149" s="29" t="s">
        <v>107</v>
      </c>
      <c r="B149" s="30">
        <v>41</v>
      </c>
      <c r="C149" s="30">
        <v>28</v>
      </c>
      <c r="D149" s="30">
        <v>82</v>
      </c>
      <c r="E149" s="37"/>
    </row>
    <row r="150" spans="1:5" ht="15.75" customHeight="1" x14ac:dyDescent="0.25">
      <c r="A150" s="29" t="s">
        <v>108</v>
      </c>
      <c r="B150" s="30">
        <v>59</v>
      </c>
      <c r="C150" s="30">
        <v>40</v>
      </c>
      <c r="D150" s="30">
        <v>159</v>
      </c>
      <c r="E150" s="37"/>
    </row>
    <row r="151" spans="1:5" ht="15.75" customHeight="1" x14ac:dyDescent="0.25">
      <c r="A151" s="29" t="s">
        <v>109</v>
      </c>
      <c r="B151" s="45">
        <v>39</v>
      </c>
      <c r="C151" s="45">
        <v>26</v>
      </c>
      <c r="D151" s="45">
        <v>124</v>
      </c>
      <c r="E151" s="37"/>
    </row>
    <row r="152" spans="1:5" ht="15.75" customHeight="1" x14ac:dyDescent="0.25">
      <c r="A152" s="29" t="s">
        <v>110</v>
      </c>
      <c r="B152" s="30">
        <v>34</v>
      </c>
      <c r="C152" s="30">
        <v>23</v>
      </c>
      <c r="D152" s="30">
        <v>143</v>
      </c>
      <c r="E152" s="37"/>
    </row>
    <row r="153" spans="1:5" ht="15.75" customHeight="1" x14ac:dyDescent="0.25">
      <c r="A153" s="29" t="s">
        <v>111</v>
      </c>
      <c r="B153" s="45">
        <v>41</v>
      </c>
      <c r="C153" s="45">
        <v>28</v>
      </c>
      <c r="D153" s="45">
        <v>140</v>
      </c>
      <c r="E153" s="37"/>
    </row>
    <row r="154" spans="1:5" ht="15.75" customHeight="1" x14ac:dyDescent="0.25">
      <c r="A154" s="29" t="s">
        <v>189</v>
      </c>
      <c r="B154" s="30">
        <v>33</v>
      </c>
      <c r="C154" s="30">
        <v>22</v>
      </c>
      <c r="D154" s="30">
        <v>117</v>
      </c>
      <c r="E154" s="37"/>
    </row>
    <row r="155" spans="1:5" ht="15.75" customHeight="1" x14ac:dyDescent="0.25">
      <c r="A155" s="29" t="s">
        <v>188</v>
      </c>
      <c r="B155" s="30">
        <v>30</v>
      </c>
      <c r="C155" s="30">
        <v>20</v>
      </c>
      <c r="D155" s="30">
        <v>84</v>
      </c>
      <c r="E155" s="37"/>
    </row>
    <row r="156" spans="1:5" ht="15.75" customHeight="1" x14ac:dyDescent="0.25">
      <c r="A156" s="29" t="s">
        <v>187</v>
      </c>
      <c r="B156" s="30">
        <v>27</v>
      </c>
      <c r="C156" s="30">
        <v>18</v>
      </c>
      <c r="D156" s="30">
        <v>86</v>
      </c>
      <c r="E156" s="37"/>
    </row>
    <row r="157" spans="1:5" ht="15.75" customHeight="1" x14ac:dyDescent="0.25">
      <c r="A157" s="29" t="s">
        <v>186</v>
      </c>
      <c r="B157" s="30">
        <v>29</v>
      </c>
      <c r="C157" s="30">
        <v>20</v>
      </c>
      <c r="D157" s="30">
        <v>109</v>
      </c>
      <c r="E157" s="37"/>
    </row>
    <row r="158" spans="1:5" ht="15.75" customHeight="1" x14ac:dyDescent="0.25">
      <c r="A158" s="29" t="s">
        <v>190</v>
      </c>
      <c r="B158" s="30">
        <v>29</v>
      </c>
      <c r="C158" s="30">
        <v>20</v>
      </c>
      <c r="D158" s="30">
        <v>60</v>
      </c>
      <c r="E158" s="37"/>
    </row>
    <row r="159" spans="1:5" ht="15.75" customHeight="1" x14ac:dyDescent="0.25">
      <c r="A159" s="29" t="s">
        <v>112</v>
      </c>
      <c r="B159" s="30">
        <v>32</v>
      </c>
      <c r="C159" s="30">
        <v>21</v>
      </c>
      <c r="D159" s="30">
        <v>111</v>
      </c>
      <c r="E159" s="37"/>
    </row>
    <row r="160" spans="1:5" ht="15.75" customHeight="1" x14ac:dyDescent="0.25">
      <c r="A160" s="29" t="s">
        <v>113</v>
      </c>
      <c r="B160" s="30">
        <v>44</v>
      </c>
      <c r="C160" s="30">
        <v>29</v>
      </c>
      <c r="D160" s="30">
        <v>117</v>
      </c>
      <c r="E160" s="37"/>
    </row>
    <row r="161" spans="1:5" ht="15.75" customHeight="1" x14ac:dyDescent="0.25">
      <c r="A161" s="29" t="s">
        <v>184</v>
      </c>
      <c r="B161" s="30">
        <v>32</v>
      </c>
      <c r="C161" s="30">
        <v>21</v>
      </c>
      <c r="D161" s="30">
        <v>92</v>
      </c>
      <c r="E161" s="37"/>
    </row>
    <row r="162" spans="1:5" ht="15.75" customHeight="1" x14ac:dyDescent="0.25">
      <c r="A162" s="29" t="s">
        <v>185</v>
      </c>
      <c r="B162" s="30">
        <v>27</v>
      </c>
      <c r="C162" s="30">
        <v>18</v>
      </c>
      <c r="D162" s="30">
        <v>89</v>
      </c>
      <c r="E162" s="37"/>
    </row>
    <row r="163" spans="1:5" ht="15.75" customHeight="1" x14ac:dyDescent="0.25">
      <c r="A163" s="31" t="s">
        <v>233</v>
      </c>
      <c r="B163" s="30">
        <v>28</v>
      </c>
      <c r="C163" s="30">
        <v>19</v>
      </c>
      <c r="D163" s="30">
        <v>84</v>
      </c>
      <c r="E163" s="37"/>
    </row>
    <row r="164" spans="1:5" ht="15.75" customHeight="1" x14ac:dyDescent="0.25">
      <c r="A164" s="29" t="s">
        <v>182</v>
      </c>
      <c r="B164" s="30">
        <v>30</v>
      </c>
      <c r="C164" s="30">
        <v>20</v>
      </c>
      <c r="D164" s="30">
        <v>110</v>
      </c>
      <c r="E164" s="37"/>
    </row>
    <row r="165" spans="1:5" ht="15.75" customHeight="1" x14ac:dyDescent="0.25">
      <c r="A165" s="31" t="s">
        <v>234</v>
      </c>
      <c r="B165" s="30">
        <v>26</v>
      </c>
      <c r="C165" s="30">
        <v>17</v>
      </c>
      <c r="D165" s="30">
        <v>114</v>
      </c>
      <c r="E165" s="37"/>
    </row>
    <row r="166" spans="1:5" ht="15.75" customHeight="1" x14ac:dyDescent="0.25">
      <c r="A166" s="29" t="s">
        <v>183</v>
      </c>
      <c r="B166" s="30">
        <v>24</v>
      </c>
      <c r="C166" s="30">
        <v>16</v>
      </c>
      <c r="D166" s="30">
        <v>58</v>
      </c>
      <c r="E166" s="37"/>
    </row>
    <row r="167" spans="1:5" ht="15.75" customHeight="1" x14ac:dyDescent="0.25">
      <c r="A167" s="29" t="s">
        <v>181</v>
      </c>
      <c r="B167" s="30">
        <v>26</v>
      </c>
      <c r="C167" s="30">
        <v>17</v>
      </c>
      <c r="D167" s="30">
        <v>114</v>
      </c>
      <c r="E167" s="37"/>
    </row>
    <row r="168" spans="1:5" ht="15.75" customHeight="1" x14ac:dyDescent="0.25">
      <c r="A168" s="29" t="s">
        <v>226</v>
      </c>
      <c r="B168" s="30">
        <v>28</v>
      </c>
      <c r="C168" s="30">
        <v>19</v>
      </c>
      <c r="D168" s="30">
        <v>84</v>
      </c>
      <c r="E168" s="37"/>
    </row>
    <row r="169" spans="1:5" ht="15.75" customHeight="1" x14ac:dyDescent="0.25">
      <c r="A169" s="29" t="s">
        <v>114</v>
      </c>
      <c r="B169" s="30">
        <v>38</v>
      </c>
      <c r="C169" s="30">
        <v>25</v>
      </c>
      <c r="D169" s="30">
        <v>105</v>
      </c>
      <c r="E169" s="37"/>
    </row>
    <row r="170" spans="1:5" ht="15.75" customHeight="1" x14ac:dyDescent="0.25">
      <c r="A170" s="29" t="s">
        <v>115</v>
      </c>
      <c r="B170" s="30">
        <v>39</v>
      </c>
      <c r="C170" s="30">
        <v>26</v>
      </c>
      <c r="D170" s="30">
        <v>105</v>
      </c>
      <c r="E170" s="37"/>
    </row>
    <row r="171" spans="1:5" ht="15.75" customHeight="1" x14ac:dyDescent="0.25">
      <c r="A171" s="29" t="s">
        <v>116</v>
      </c>
      <c r="B171" s="30">
        <v>34</v>
      </c>
      <c r="C171" s="30">
        <v>23</v>
      </c>
      <c r="D171" s="30">
        <v>75</v>
      </c>
      <c r="E171" s="37"/>
    </row>
    <row r="172" spans="1:5" ht="15.75" customHeight="1" x14ac:dyDescent="0.25">
      <c r="A172" s="29" t="s">
        <v>237</v>
      </c>
      <c r="B172" s="30">
        <v>47</v>
      </c>
      <c r="C172" s="30">
        <v>32</v>
      </c>
      <c r="D172" s="30">
        <v>80</v>
      </c>
      <c r="E172" s="37"/>
    </row>
    <row r="173" spans="1:5" ht="15.75" customHeight="1" x14ac:dyDescent="0.25">
      <c r="A173" s="29" t="s">
        <v>179</v>
      </c>
      <c r="B173" s="30">
        <v>57</v>
      </c>
      <c r="C173" s="30">
        <v>38</v>
      </c>
      <c r="D173" s="30">
        <v>181</v>
      </c>
      <c r="E173" s="37"/>
    </row>
    <row r="174" spans="1:5" ht="15.75" customHeight="1" x14ac:dyDescent="0.25">
      <c r="A174" s="29" t="s">
        <v>178</v>
      </c>
      <c r="B174" s="30">
        <v>56</v>
      </c>
      <c r="C174" s="30">
        <v>37</v>
      </c>
      <c r="D174" s="30">
        <v>186</v>
      </c>
      <c r="E174" s="37"/>
    </row>
    <row r="175" spans="1:5" ht="15.75" customHeight="1" x14ac:dyDescent="0.25">
      <c r="A175" s="29" t="s">
        <v>180</v>
      </c>
      <c r="B175" s="30">
        <v>56</v>
      </c>
      <c r="C175" s="30">
        <v>37</v>
      </c>
      <c r="D175" s="30">
        <v>181</v>
      </c>
      <c r="E175" s="37"/>
    </row>
    <row r="176" spans="1:5" ht="15.75" customHeight="1" x14ac:dyDescent="0.25">
      <c r="A176" s="29" t="s">
        <v>117</v>
      </c>
      <c r="B176" s="30">
        <v>66</v>
      </c>
      <c r="C176" s="30">
        <v>44</v>
      </c>
      <c r="D176" s="30">
        <v>140</v>
      </c>
      <c r="E176" s="37"/>
    </row>
    <row r="177" spans="1:5" ht="15.75" customHeight="1" x14ac:dyDescent="0.25">
      <c r="A177" s="29" t="s">
        <v>176</v>
      </c>
      <c r="B177" s="30">
        <v>66</v>
      </c>
      <c r="C177" s="30">
        <v>44</v>
      </c>
      <c r="D177" s="30">
        <v>186</v>
      </c>
      <c r="E177" s="37"/>
    </row>
    <row r="178" spans="1:5" ht="15.75" customHeight="1" x14ac:dyDescent="0.25">
      <c r="A178" s="29" t="s">
        <v>177</v>
      </c>
      <c r="B178" s="30">
        <v>64</v>
      </c>
      <c r="C178" s="30">
        <v>43</v>
      </c>
      <c r="D178" s="30">
        <v>180</v>
      </c>
      <c r="E178" s="37"/>
    </row>
    <row r="179" spans="1:5" ht="15.75" customHeight="1" x14ac:dyDescent="0.25">
      <c r="A179" s="29" t="s">
        <v>118</v>
      </c>
      <c r="B179" s="30">
        <v>42</v>
      </c>
      <c r="C179" s="30">
        <v>28</v>
      </c>
      <c r="D179" s="30">
        <v>190</v>
      </c>
      <c r="E179" s="37"/>
    </row>
    <row r="180" spans="1:5" ht="15.75" customHeight="1" x14ac:dyDescent="0.25">
      <c r="A180" s="29" t="s">
        <v>119</v>
      </c>
      <c r="B180" s="30">
        <v>27</v>
      </c>
      <c r="C180" s="30">
        <v>18</v>
      </c>
      <c r="D180" s="30">
        <v>97</v>
      </c>
      <c r="E180" s="37"/>
    </row>
    <row r="181" spans="1:5" ht="15.75" customHeight="1" x14ac:dyDescent="0.25">
      <c r="A181" s="29" t="s">
        <v>120</v>
      </c>
      <c r="B181" s="45">
        <v>57</v>
      </c>
      <c r="C181" s="45">
        <v>38</v>
      </c>
      <c r="D181" s="45">
        <v>145</v>
      </c>
      <c r="E181" s="37"/>
    </row>
    <row r="182" spans="1:5" ht="15.75" customHeight="1" x14ac:dyDescent="0.25">
      <c r="A182" s="29" t="s">
        <v>121</v>
      </c>
      <c r="B182" s="30">
        <v>45</v>
      </c>
      <c r="C182" s="30">
        <v>30</v>
      </c>
      <c r="D182" s="30">
        <v>140</v>
      </c>
      <c r="E182" s="37"/>
    </row>
    <row r="183" spans="1:5" ht="15.75" customHeight="1" x14ac:dyDescent="0.25">
      <c r="A183" s="29" t="s">
        <v>122</v>
      </c>
      <c r="B183" s="30">
        <v>54</v>
      </c>
      <c r="C183" s="30">
        <v>36</v>
      </c>
      <c r="D183" s="30">
        <v>197</v>
      </c>
      <c r="E183" s="37"/>
    </row>
    <row r="184" spans="1:5" ht="15.75" customHeight="1" x14ac:dyDescent="0.25">
      <c r="A184" s="29" t="s">
        <v>123</v>
      </c>
      <c r="B184" s="30">
        <v>33</v>
      </c>
      <c r="C184" s="30">
        <v>22</v>
      </c>
      <c r="D184" s="30">
        <v>121</v>
      </c>
      <c r="E184" s="37"/>
    </row>
    <row r="185" spans="1:5" ht="15.75" customHeight="1" x14ac:dyDescent="0.25">
      <c r="A185" s="29" t="s">
        <v>124</v>
      </c>
      <c r="B185" s="30">
        <v>38</v>
      </c>
      <c r="C185" s="30">
        <v>25</v>
      </c>
      <c r="D185" s="30">
        <v>126</v>
      </c>
      <c r="E185" s="37"/>
    </row>
    <row r="186" spans="1:5" ht="15.75" customHeight="1" x14ac:dyDescent="0.25">
      <c r="A186" s="29" t="s">
        <v>174</v>
      </c>
      <c r="B186" s="30">
        <v>34</v>
      </c>
      <c r="C186" s="30">
        <v>23</v>
      </c>
      <c r="D186" s="45">
        <v>144</v>
      </c>
      <c r="E186" s="37"/>
    </row>
    <row r="187" spans="1:5" ht="15.75" customHeight="1" x14ac:dyDescent="0.25">
      <c r="A187" s="29" t="s">
        <v>173</v>
      </c>
      <c r="B187" s="45">
        <v>36</v>
      </c>
      <c r="C187" s="45">
        <v>24</v>
      </c>
      <c r="D187" s="45">
        <v>103</v>
      </c>
      <c r="E187" s="37"/>
    </row>
    <row r="188" spans="1:5" ht="15.75" customHeight="1" x14ac:dyDescent="0.25">
      <c r="A188" s="29" t="s">
        <v>172</v>
      </c>
      <c r="B188" s="45">
        <v>42</v>
      </c>
      <c r="C188" s="45">
        <v>28</v>
      </c>
      <c r="D188" s="45">
        <v>131</v>
      </c>
      <c r="E188" s="37"/>
    </row>
    <row r="189" spans="1:5" ht="15.75" customHeight="1" x14ac:dyDescent="0.25">
      <c r="A189" s="29" t="s">
        <v>171</v>
      </c>
      <c r="B189" s="45">
        <v>44</v>
      </c>
      <c r="C189" s="45">
        <v>29</v>
      </c>
      <c r="D189" s="45">
        <v>142</v>
      </c>
      <c r="E189" s="37"/>
    </row>
    <row r="190" spans="1:5" ht="15.75" customHeight="1" x14ac:dyDescent="0.25">
      <c r="A190" s="29" t="s">
        <v>175</v>
      </c>
      <c r="B190" s="30">
        <v>34</v>
      </c>
      <c r="C190" s="30">
        <v>23</v>
      </c>
      <c r="D190" s="45">
        <v>103</v>
      </c>
      <c r="E190" s="37"/>
    </row>
    <row r="191" spans="1:5" ht="15.75" customHeight="1" x14ac:dyDescent="0.25">
      <c r="A191" s="29" t="s">
        <v>170</v>
      </c>
      <c r="B191" s="45">
        <v>36</v>
      </c>
      <c r="C191" s="45">
        <v>24</v>
      </c>
      <c r="D191" s="45">
        <v>112</v>
      </c>
      <c r="E191" s="37"/>
    </row>
    <row r="192" spans="1:5" ht="15.75" customHeight="1" x14ac:dyDescent="0.25">
      <c r="A192" s="29" t="s">
        <v>125</v>
      </c>
      <c r="B192" s="30">
        <v>45</v>
      </c>
      <c r="C192" s="30">
        <v>30</v>
      </c>
      <c r="D192" s="30">
        <v>177</v>
      </c>
      <c r="E192" s="37"/>
    </row>
    <row r="193" spans="1:5" ht="15.75" customHeight="1" x14ac:dyDescent="0.25">
      <c r="A193" s="29" t="s">
        <v>126</v>
      </c>
      <c r="B193" s="30">
        <v>45</v>
      </c>
      <c r="C193" s="30">
        <v>30</v>
      </c>
      <c r="D193" s="30">
        <v>177</v>
      </c>
      <c r="E193" s="37"/>
    </row>
    <row r="194" spans="1:5" ht="15.75" customHeight="1" x14ac:dyDescent="0.25">
      <c r="A194" s="29" t="s">
        <v>127</v>
      </c>
      <c r="B194" s="30">
        <v>45</v>
      </c>
      <c r="C194" s="30">
        <v>30</v>
      </c>
      <c r="D194" s="30">
        <v>177</v>
      </c>
      <c r="E194" s="37"/>
    </row>
    <row r="195" spans="1:5" ht="15.75" customHeight="1" x14ac:dyDescent="0.25">
      <c r="A195" s="29" t="s">
        <v>128</v>
      </c>
      <c r="B195" s="30">
        <v>33</v>
      </c>
      <c r="C195" s="30">
        <v>22</v>
      </c>
      <c r="D195" s="30">
        <v>195</v>
      </c>
      <c r="E195" s="37"/>
    </row>
    <row r="196" spans="1:5" ht="15.75" customHeight="1" x14ac:dyDescent="0.25">
      <c r="A196" s="29" t="s">
        <v>130</v>
      </c>
      <c r="B196" s="30">
        <v>45</v>
      </c>
      <c r="C196" s="30">
        <v>30</v>
      </c>
      <c r="D196" s="30">
        <v>177</v>
      </c>
      <c r="E196" s="37"/>
    </row>
    <row r="197" spans="1:5" ht="15.75" customHeight="1" x14ac:dyDescent="0.25">
      <c r="A197" s="29" t="s">
        <v>169</v>
      </c>
      <c r="B197" s="30">
        <v>38</v>
      </c>
      <c r="C197" s="30">
        <v>25</v>
      </c>
      <c r="D197" s="30">
        <v>140</v>
      </c>
      <c r="E197" s="37"/>
    </row>
    <row r="198" spans="1:5" ht="15.75" customHeight="1" x14ac:dyDescent="0.25">
      <c r="A198" s="29" t="s">
        <v>166</v>
      </c>
      <c r="B198" s="30">
        <v>33</v>
      </c>
      <c r="C198" s="30">
        <v>22</v>
      </c>
      <c r="D198" s="30">
        <v>130</v>
      </c>
      <c r="E198" s="37"/>
    </row>
    <row r="199" spans="1:5" ht="15.75" customHeight="1" x14ac:dyDescent="0.25">
      <c r="A199" s="29" t="s">
        <v>167</v>
      </c>
      <c r="B199" s="30">
        <v>36</v>
      </c>
      <c r="C199" s="30">
        <v>24</v>
      </c>
      <c r="D199" s="30">
        <v>129</v>
      </c>
      <c r="E199" s="37"/>
    </row>
    <row r="200" spans="1:5" ht="15.75" customHeight="1" x14ac:dyDescent="0.25">
      <c r="A200" s="29" t="s">
        <v>168</v>
      </c>
      <c r="B200" s="30">
        <v>29</v>
      </c>
      <c r="C200" s="30">
        <v>20</v>
      </c>
      <c r="D200" s="30">
        <v>109</v>
      </c>
      <c r="E200" s="37"/>
    </row>
    <row r="201" spans="1:5" ht="15.75" customHeight="1" x14ac:dyDescent="0.25">
      <c r="A201" s="29" t="s">
        <v>129</v>
      </c>
      <c r="B201" s="45">
        <v>51</v>
      </c>
      <c r="C201" s="45">
        <v>34</v>
      </c>
      <c r="D201" s="45">
        <v>159</v>
      </c>
      <c r="E201" s="37"/>
    </row>
    <row r="202" spans="1:5" ht="15.75" customHeight="1" x14ac:dyDescent="0.25">
      <c r="A202" s="29" t="s">
        <v>131</v>
      </c>
      <c r="B202" s="30">
        <v>27</v>
      </c>
      <c r="C202" s="30">
        <v>18</v>
      </c>
      <c r="D202" s="30">
        <v>118</v>
      </c>
      <c r="E202" s="37"/>
    </row>
    <row r="203" spans="1:5" ht="15.75" customHeight="1" x14ac:dyDescent="0.25">
      <c r="A203" s="29" t="s">
        <v>132</v>
      </c>
      <c r="B203" s="30">
        <v>46</v>
      </c>
      <c r="C203" s="30">
        <v>31</v>
      </c>
      <c r="D203" s="30">
        <v>143</v>
      </c>
      <c r="E203" s="37"/>
    </row>
    <row r="204" spans="1:5" ht="15.75" customHeight="1" x14ac:dyDescent="0.25">
      <c r="A204" s="29" t="s">
        <v>133</v>
      </c>
      <c r="B204" s="30">
        <v>44</v>
      </c>
      <c r="C204" s="30">
        <v>39</v>
      </c>
      <c r="D204" s="30">
        <v>97</v>
      </c>
      <c r="E204" s="37"/>
    </row>
    <row r="205" spans="1:5" ht="15.75" customHeight="1" x14ac:dyDescent="0.25">
      <c r="A205" s="29" t="s">
        <v>134</v>
      </c>
      <c r="B205" s="30">
        <v>38</v>
      </c>
      <c r="C205" s="30">
        <v>25</v>
      </c>
      <c r="D205" s="30">
        <v>110</v>
      </c>
      <c r="E205" s="37"/>
    </row>
    <row r="206" spans="1:5" ht="15.75" customHeight="1" x14ac:dyDescent="0.25">
      <c r="A206" s="29" t="s">
        <v>135</v>
      </c>
      <c r="B206" s="30">
        <v>39</v>
      </c>
      <c r="C206" s="30">
        <v>26</v>
      </c>
      <c r="D206" s="30">
        <v>118</v>
      </c>
      <c r="E206" s="37"/>
    </row>
    <row r="207" spans="1:5" ht="15.75" customHeight="1" x14ac:dyDescent="0.25">
      <c r="A207" s="29" t="s">
        <v>136</v>
      </c>
      <c r="B207" s="30">
        <v>39</v>
      </c>
      <c r="C207" s="30">
        <v>26</v>
      </c>
      <c r="D207" s="30">
        <v>94</v>
      </c>
      <c r="E207" s="37"/>
    </row>
    <row r="208" spans="1:5" ht="15.75" customHeight="1" x14ac:dyDescent="0.25">
      <c r="A208" s="29" t="s">
        <v>137</v>
      </c>
      <c r="B208" s="45">
        <v>66</v>
      </c>
      <c r="C208" s="45">
        <v>44</v>
      </c>
      <c r="D208" s="45">
        <v>203</v>
      </c>
      <c r="E208" s="37"/>
    </row>
    <row r="209" spans="1:5" ht="15.75" customHeight="1" x14ac:dyDescent="0.25">
      <c r="A209" s="29" t="s">
        <v>138</v>
      </c>
      <c r="B209" s="45">
        <v>42</v>
      </c>
      <c r="C209" s="45">
        <v>28</v>
      </c>
      <c r="D209" s="45">
        <v>155</v>
      </c>
      <c r="E209" s="37"/>
    </row>
    <row r="210" spans="1:5" ht="15.75" customHeight="1" x14ac:dyDescent="0.25">
      <c r="A210" s="29" t="s">
        <v>139</v>
      </c>
      <c r="B210" s="30">
        <v>32</v>
      </c>
      <c r="C210" s="30">
        <v>21</v>
      </c>
      <c r="D210" s="30">
        <v>77</v>
      </c>
      <c r="E210" s="37"/>
    </row>
    <row r="211" spans="1:5" ht="15.75" customHeight="1" x14ac:dyDescent="0.25">
      <c r="A211" s="29" t="s">
        <v>140</v>
      </c>
      <c r="B211" s="30">
        <v>40</v>
      </c>
      <c r="C211" s="30">
        <v>27</v>
      </c>
      <c r="D211" s="45">
        <v>144</v>
      </c>
      <c r="E211" s="37"/>
    </row>
    <row r="212" spans="1:5" ht="15.75" customHeight="1" x14ac:dyDescent="0.25">
      <c r="A212" s="29" t="s">
        <v>141</v>
      </c>
      <c r="B212" s="30">
        <v>33</v>
      </c>
      <c r="C212" s="30">
        <v>22</v>
      </c>
      <c r="D212" s="30">
        <v>108</v>
      </c>
      <c r="E212" s="37"/>
    </row>
    <row r="213" spans="1:5" ht="15.75" customHeight="1" x14ac:dyDescent="0.25">
      <c r="A213" s="29" t="s">
        <v>164</v>
      </c>
      <c r="B213" s="30">
        <v>26</v>
      </c>
      <c r="C213" s="30">
        <v>17</v>
      </c>
      <c r="D213" s="30">
        <v>120</v>
      </c>
      <c r="E213" s="37"/>
    </row>
    <row r="214" spans="1:5" ht="15.75" customHeight="1" x14ac:dyDescent="0.25">
      <c r="A214" s="29" t="s">
        <v>163</v>
      </c>
      <c r="B214" s="30">
        <v>29</v>
      </c>
      <c r="C214" s="30">
        <v>20</v>
      </c>
      <c r="D214" s="30">
        <v>55</v>
      </c>
      <c r="E214" s="37"/>
    </row>
    <row r="215" spans="1:5" ht="15.75" customHeight="1" x14ac:dyDescent="0.25">
      <c r="A215" s="29" t="s">
        <v>165</v>
      </c>
      <c r="B215" s="30">
        <v>17</v>
      </c>
      <c r="C215" s="30">
        <v>12</v>
      </c>
      <c r="D215" s="30">
        <v>95</v>
      </c>
      <c r="E215" s="37"/>
    </row>
    <row r="216" spans="1:5" ht="15.75" customHeight="1" x14ac:dyDescent="0.25">
      <c r="A216" s="29" t="s">
        <v>142</v>
      </c>
      <c r="B216" s="30">
        <v>41</v>
      </c>
      <c r="C216" s="30">
        <v>28</v>
      </c>
      <c r="D216" s="30">
        <v>143</v>
      </c>
      <c r="E216" s="37"/>
    </row>
    <row r="217" spans="1:5" ht="15.75" customHeight="1" x14ac:dyDescent="0.25">
      <c r="A217" s="29" t="s">
        <v>143</v>
      </c>
      <c r="B217" s="30">
        <v>26</v>
      </c>
      <c r="C217" s="30">
        <v>17</v>
      </c>
      <c r="D217" s="30">
        <v>98</v>
      </c>
      <c r="E217" s="37"/>
    </row>
    <row r="218" spans="1:5" ht="15.75" customHeight="1" x14ac:dyDescent="0.25">
      <c r="A218" s="29" t="s">
        <v>144</v>
      </c>
      <c r="B218" s="30">
        <v>32</v>
      </c>
      <c r="C218" s="30">
        <v>21</v>
      </c>
      <c r="D218" s="30">
        <v>85</v>
      </c>
      <c r="E218" s="37"/>
    </row>
    <row r="219" spans="1:5" ht="15.75" customHeight="1" x14ac:dyDescent="0.25">
      <c r="A219" s="29" t="s">
        <v>145</v>
      </c>
      <c r="B219" s="30">
        <v>48</v>
      </c>
      <c r="C219" s="30">
        <v>32</v>
      </c>
      <c r="D219" s="30">
        <v>90</v>
      </c>
      <c r="E219" s="37"/>
    </row>
    <row r="220" spans="1:5" ht="15.75" customHeight="1" x14ac:dyDescent="0.25">
      <c r="A220" s="29" t="s">
        <v>146</v>
      </c>
      <c r="B220" s="30">
        <v>34</v>
      </c>
      <c r="C220" s="30">
        <v>23</v>
      </c>
      <c r="D220" s="30">
        <v>104</v>
      </c>
      <c r="E220" s="37"/>
    </row>
    <row r="221" spans="1:5" ht="15.75" customHeight="1" x14ac:dyDescent="0.25">
      <c r="A221" s="46" t="s">
        <v>350</v>
      </c>
      <c r="B221" s="45">
        <v>48</v>
      </c>
      <c r="C221" s="45">
        <v>32</v>
      </c>
      <c r="D221" s="45">
        <v>150</v>
      </c>
      <c r="E221" s="37"/>
    </row>
    <row r="222" spans="1:5" ht="15.75" customHeight="1" x14ac:dyDescent="0.25">
      <c r="A222" s="29" t="s">
        <v>147</v>
      </c>
      <c r="B222" s="30">
        <v>45</v>
      </c>
      <c r="C222" s="30">
        <v>30</v>
      </c>
      <c r="D222" s="30">
        <v>127</v>
      </c>
      <c r="E222" s="37"/>
    </row>
    <row r="223" spans="1:5" ht="15.75" customHeight="1" x14ac:dyDescent="0.25">
      <c r="A223" s="29" t="s">
        <v>162</v>
      </c>
      <c r="B223" s="30">
        <v>65</v>
      </c>
      <c r="C223" s="30">
        <v>44</v>
      </c>
      <c r="D223" s="30">
        <v>156</v>
      </c>
      <c r="E223" s="37"/>
    </row>
    <row r="224" spans="1:5" ht="15.75" customHeight="1" x14ac:dyDescent="0.25">
      <c r="A224" s="34" t="s">
        <v>248</v>
      </c>
      <c r="B224" s="30">
        <v>77</v>
      </c>
      <c r="C224" s="30">
        <v>52</v>
      </c>
      <c r="D224" s="30">
        <v>182</v>
      </c>
      <c r="E224" s="37"/>
    </row>
    <row r="225" spans="1:5" ht="15.75" customHeight="1" x14ac:dyDescent="0.25">
      <c r="A225" s="34" t="s">
        <v>249</v>
      </c>
      <c r="B225" s="30">
        <v>63</v>
      </c>
      <c r="C225" s="30">
        <v>42</v>
      </c>
      <c r="D225" s="30">
        <v>333</v>
      </c>
      <c r="E225" s="37"/>
    </row>
    <row r="226" spans="1:5" ht="15.75" customHeight="1" x14ac:dyDescent="0.25">
      <c r="A226" s="34" t="s">
        <v>250</v>
      </c>
      <c r="B226" s="30">
        <v>65</v>
      </c>
      <c r="C226" s="30">
        <v>44</v>
      </c>
      <c r="D226" s="30">
        <v>233</v>
      </c>
      <c r="E226" s="37"/>
    </row>
    <row r="227" spans="1:5" ht="15.75" customHeight="1" x14ac:dyDescent="0.25">
      <c r="A227" s="34" t="s">
        <v>251</v>
      </c>
      <c r="B227" s="30">
        <v>62</v>
      </c>
      <c r="C227" s="30">
        <v>41</v>
      </c>
      <c r="D227" s="30">
        <v>204</v>
      </c>
      <c r="E227" s="37"/>
    </row>
    <row r="228" spans="1:5" ht="15.75" customHeight="1" x14ac:dyDescent="0.25">
      <c r="A228" s="34" t="s">
        <v>252</v>
      </c>
      <c r="B228" s="30">
        <v>64</v>
      </c>
      <c r="C228" s="30">
        <v>43</v>
      </c>
      <c r="D228" s="30">
        <v>262</v>
      </c>
      <c r="E228" s="37"/>
    </row>
    <row r="229" spans="1:5" ht="15.75" customHeight="1" x14ac:dyDescent="0.25">
      <c r="A229" s="34" t="s">
        <v>253</v>
      </c>
      <c r="B229" s="30">
        <v>65</v>
      </c>
      <c r="C229" s="30">
        <v>44</v>
      </c>
      <c r="D229" s="30">
        <v>256</v>
      </c>
      <c r="E229" s="37"/>
    </row>
    <row r="230" spans="1:5" ht="15.75" customHeight="1" x14ac:dyDescent="0.25">
      <c r="A230" s="34" t="s">
        <v>254</v>
      </c>
      <c r="B230" s="30">
        <v>66</v>
      </c>
      <c r="C230" s="30">
        <v>44</v>
      </c>
      <c r="D230" s="30">
        <v>308</v>
      </c>
      <c r="E230" s="37"/>
    </row>
    <row r="231" spans="1:5" ht="15.75" customHeight="1" x14ac:dyDescent="0.25">
      <c r="A231" s="34" t="s">
        <v>255</v>
      </c>
      <c r="B231" s="30">
        <v>59</v>
      </c>
      <c r="C231" s="30">
        <v>40</v>
      </c>
      <c r="D231" s="30">
        <v>328</v>
      </c>
      <c r="E231" s="37"/>
    </row>
    <row r="232" spans="1:5" ht="15.75" customHeight="1" x14ac:dyDescent="0.25">
      <c r="A232" s="34" t="s">
        <v>256</v>
      </c>
      <c r="B232" s="30">
        <v>66</v>
      </c>
      <c r="C232" s="30">
        <v>44</v>
      </c>
      <c r="D232" s="30">
        <v>203</v>
      </c>
      <c r="E232" s="37"/>
    </row>
    <row r="233" spans="1:5" ht="15.75" customHeight="1" x14ac:dyDescent="0.25">
      <c r="A233" s="34" t="s">
        <v>257</v>
      </c>
      <c r="B233" s="30">
        <v>59</v>
      </c>
      <c r="C233" s="30">
        <v>40</v>
      </c>
      <c r="D233" s="30">
        <v>182</v>
      </c>
      <c r="E233" s="37"/>
    </row>
    <row r="234" spans="1:5" ht="15.75" customHeight="1" x14ac:dyDescent="0.25">
      <c r="A234" s="29" t="s">
        <v>160</v>
      </c>
      <c r="B234" s="30">
        <v>66</v>
      </c>
      <c r="C234" s="30">
        <v>44</v>
      </c>
      <c r="D234" s="30">
        <v>163</v>
      </c>
      <c r="E234" s="37"/>
    </row>
    <row r="235" spans="1:5" ht="15.75" customHeight="1" x14ac:dyDescent="0.25">
      <c r="A235" s="29" t="s">
        <v>161</v>
      </c>
      <c r="B235" s="30">
        <v>52</v>
      </c>
      <c r="C235" s="30">
        <v>35</v>
      </c>
      <c r="D235" s="30">
        <v>99</v>
      </c>
      <c r="E235" s="37"/>
    </row>
    <row r="236" spans="1:5" ht="15.75" customHeight="1" x14ac:dyDescent="0.25">
      <c r="A236" s="29" t="s">
        <v>148</v>
      </c>
      <c r="B236" s="30">
        <v>41</v>
      </c>
      <c r="C236" s="30">
        <v>28</v>
      </c>
      <c r="D236" s="30">
        <v>86</v>
      </c>
      <c r="E236" s="37"/>
    </row>
    <row r="237" spans="1:5" ht="15.75" customHeight="1" x14ac:dyDescent="0.25">
      <c r="A237" s="29" t="s">
        <v>149</v>
      </c>
      <c r="B237" s="30">
        <v>20</v>
      </c>
      <c r="C237" s="30">
        <v>13</v>
      </c>
      <c r="D237" s="30">
        <v>98</v>
      </c>
      <c r="E237" s="37"/>
    </row>
    <row r="238" spans="1:5" ht="15.75" customHeight="1" x14ac:dyDescent="0.25">
      <c r="A238" s="29" t="s">
        <v>150</v>
      </c>
      <c r="B238" s="45">
        <v>53</v>
      </c>
      <c r="C238" s="45">
        <v>36</v>
      </c>
      <c r="D238" s="45">
        <v>210</v>
      </c>
      <c r="E238" s="37"/>
    </row>
    <row r="239" spans="1:5" ht="15.75" customHeight="1" x14ac:dyDescent="0.25">
      <c r="A239" s="29" t="s">
        <v>151</v>
      </c>
      <c r="B239" s="30">
        <v>42</v>
      </c>
      <c r="C239" s="30">
        <v>28</v>
      </c>
      <c r="D239" s="30">
        <v>125</v>
      </c>
      <c r="E239" s="37"/>
    </row>
    <row r="240" spans="1:5" ht="15.75" customHeight="1" x14ac:dyDescent="0.25">
      <c r="A240" s="29" t="s">
        <v>7</v>
      </c>
      <c r="B240" s="30">
        <v>36</v>
      </c>
      <c r="C240" s="30">
        <v>24</v>
      </c>
      <c r="D240" s="30">
        <v>166</v>
      </c>
      <c r="E240" s="37"/>
    </row>
    <row r="241" spans="1:5" ht="15.75" customHeight="1" x14ac:dyDescent="0.25">
      <c r="A241" s="35" t="s">
        <v>247</v>
      </c>
      <c r="B241" s="36">
        <f>VLOOKUP("Luxemburg",$A:$D,2)</f>
        <v>63</v>
      </c>
      <c r="C241" s="36">
        <f>VLOOKUP("Luxemburg",$A:$D,3)</f>
        <v>42</v>
      </c>
      <c r="D241" s="36">
        <f>VLOOKUP("Luxemburg",$A:$D,4)</f>
        <v>139</v>
      </c>
      <c r="E241" s="37"/>
    </row>
    <row r="242" spans="1:5" ht="15.75" customHeight="1" x14ac:dyDescent="0.25">
      <c r="E242" s="37"/>
    </row>
    <row r="243" spans="1:5" ht="15.75" customHeight="1" x14ac:dyDescent="0.25">
      <c r="E243" s="37"/>
    </row>
    <row r="244" spans="1:5" ht="15.75" customHeight="1" x14ac:dyDescent="0.25">
      <c r="E244" s="37"/>
    </row>
    <row r="245" spans="1:5" ht="15.75" customHeight="1" x14ac:dyDescent="0.25"/>
  </sheetData>
  <sheetProtection algorithmName="SHA-512" hashValue="58sk+Y/6rMMB4996/H8WF0I+5JN/6gxssyGcXn3oq6zxK7AfJ2L4IBy2lAaWritLgx11cD+C+Bxx/QQ/0AsLxw==" saltValue="MIB564mvSJQMkOTJXWltlw==" spinCount="100000" sheet="1" objects="1" scenarios="1" selectLockedCells="1"/>
  <hyperlinks>
    <hyperlink ref="B43" r:id="rId1" tooltip="Verpflegungspauschale im Inland" display="http://www.steuer-schutzbrief.de/reisekosten/verpflegungsmehraufwand.html" xr:uid="{00000000-0004-0000-0200-000000000000}"/>
    <hyperlink ref="C43" r:id="rId2" tooltip="Wie Sie Ihren Verpflegungsmehraufwand im Inland geltend machen" display="http://www.steuer-schutzbrief.de/reisekosten/verpflegungsmehraufwand.html" xr:uid="{00000000-0004-0000-0200-000001000000}"/>
    <hyperlink ref="D43" r:id="rId3" tooltip="Wie Sie die Übernachtungspauschale im Inland geltend machen" display="http://www.steuer-schutzbrief.de/reisekosten/uebernachtungskosten.html" xr:uid="{00000000-0004-0000-0200-000002000000}"/>
  </hyperlinks>
  <pageMargins left="0.7" right="0.7" top="0.78740157499999996" bottom="0.78740157499999996" header="0.3" footer="0.3"/>
  <pageSetup paperSize="9" orientation="portrait"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6</vt:i4>
      </vt:variant>
    </vt:vector>
  </HeadingPairs>
  <TitlesOfParts>
    <vt:vector size="9" baseType="lpstr">
      <vt:lpstr>Reisekostenabrechnung</vt:lpstr>
      <vt:lpstr>Beispielabrechnung</vt:lpstr>
      <vt:lpstr>Pauschalen</vt:lpstr>
      <vt:lpstr>Beispielabrechnung!Druckbereich</vt:lpstr>
      <vt:lpstr>Reisekostenabrechnung!Druckbereich</vt:lpstr>
      <vt:lpstr>Beispielabrechnung!Drucktitel</vt:lpstr>
      <vt:lpstr>Reisekostenabrechnung!Drucktitel</vt:lpstr>
      <vt:lpstr>Liste_27042016</vt:lpstr>
      <vt:lpstr>Liste2016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Niels Ihlenburg</cp:lastModifiedBy>
  <cp:lastPrinted>2024-03-21T13:56:18Z</cp:lastPrinted>
  <dcterms:created xsi:type="dcterms:W3CDTF">2008-04-04T07:51:05Z</dcterms:created>
  <dcterms:modified xsi:type="dcterms:W3CDTF">2025-01-20T07:51:51Z</dcterms:modified>
</cp:coreProperties>
</file>